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15" firstSheet="1" activeTab="7"/>
  </bookViews>
  <sheets>
    <sheet name="General Notes" sheetId="1" r:id="rId1"/>
    <sheet name="Rates" sheetId="2" r:id="rId2"/>
    <sheet name="Base Cost Model" sheetId="3" r:id="rId3"/>
    <sheet name="17C" sheetId="4" r:id="rId4"/>
    <sheet name="18C townhouse" sheetId="5" r:id="rId5"/>
    <sheet name="Victorian-Edwardian" sheetId="6" r:id="rId6"/>
    <sheet name="Early Modern Semi" sheetId="7" r:id="rId7"/>
    <sheet name="Late Modern Detached" sheetId="8" r:id="rId8"/>
  </sheets>
  <definedNames>
    <definedName name="aerator">'Rates'!$G$14</definedName>
    <definedName name="blackout">'Rates'!$G$45</definedName>
    <definedName name="bob">'Rates'!$G$3</definedName>
    <definedName name="boiler12">'Rates'!$G$19</definedName>
    <definedName name="bulb">'Rates'!$G$2</definedName>
    <definedName name="bulb2">'Rates'!$H$2</definedName>
    <definedName name="celotex">'Rates'!$G$46</definedName>
    <definedName name="celotextape">'Rates'!$G$47</definedName>
    <definedName name="dg">'Rates'!$G$50</definedName>
    <definedName name="draughtdoor">'Rates'!$G$5</definedName>
    <definedName name="eavesvent">'Rates'!$G$8</definedName>
    <definedName name="felt">'Rates'!$G$20</definedName>
    <definedName name="hardboard">'Rates'!$G$23</definedName>
    <definedName name="ihybrid18C">'Rates'!$G$35</definedName>
    <definedName name="ihybridearly">'Rates'!$G$39</definedName>
    <definedName name="ihybridfit18C">'Rates'!$G$36</definedName>
    <definedName name="ihybridfitearly">'Rates'!$G$40</definedName>
    <definedName name="ihybridfitlate">'Rates'!$G$42</definedName>
    <definedName name="ihybridlate">'Rates'!$G$41</definedName>
    <definedName name="iqadhesive">'Rates'!$G$25</definedName>
    <definedName name="iqfinish">'Rates'!$G$27</definedName>
    <definedName name="iqreinforce">'Rates'!$G$28</definedName>
    <definedName name="iqreveal">'Rates'!$G$30</definedName>
    <definedName name="iqtherm">'Rates'!$G$24</definedName>
    <definedName name="iqtop">'Rates'!$G$26</definedName>
    <definedName name="iqwedge">'Rates'!$G$29</definedName>
    <definedName name="labour">'Rates'!$G$4</definedName>
    <definedName name="netlon">'Rates'!$G$15</definedName>
    <definedName name="passivent17C">'Rates'!$G$33</definedName>
    <definedName name="passivent17Cfit">'Rates'!$G$33</definedName>
    <definedName name="passiventfit17C">'Rates'!$G$34</definedName>
    <definedName name="passiventfitvic">'Rates'!$G$38</definedName>
    <definedName name="passiventvic">'Rates'!$G$37</definedName>
    <definedName name="pavadentro">'Rates'!$G$44</definedName>
    <definedName name="PIR">'Rates'!$G$21</definedName>
    <definedName name="polybead">'Rates'!$G$43</definedName>
    <definedName name="polybeadbulk">'Rates'!$G$49</definedName>
    <definedName name="polybeadwall">'Rates'!$G$48</definedName>
    <definedName name="prg">'Rates'!#REF!</definedName>
    <definedName name="_xlnm.Print_Area" localSheetId="3">'17C'!$A$1:$AM$480</definedName>
    <definedName name="_xlnm.Print_Area" localSheetId="4">'18C townhouse'!$A$1:$AM$392</definedName>
    <definedName name="_xlnm.Print_Area" localSheetId="2">'Base Cost Model'!$A$1:$AM$442</definedName>
    <definedName name="_xlnm.Print_Area" localSheetId="6">'Early Modern Semi'!$A$1:$AM$471</definedName>
    <definedName name="_xlnm.Print_Area" localSheetId="7">'Late Modern Detached'!$A$1:$AM$443</definedName>
    <definedName name="_xlnm.Print_Area" localSheetId="5">'Victorian-Edwardian'!$A$1:$AM$568</definedName>
    <definedName name="_xlnm.Print_Titles" localSheetId="3">'17C'!$1:$10</definedName>
    <definedName name="_xlnm.Print_Titles" localSheetId="4">'18C townhouse'!$1:$10</definedName>
    <definedName name="_xlnm.Print_Titles" localSheetId="2">'Base Cost Model'!$1:$10</definedName>
    <definedName name="_xlnm.Print_Titles" localSheetId="6">'Early Modern Semi'!$1:$10</definedName>
    <definedName name="_xlnm.Print_Titles" localSheetId="7">'Late Modern Detached'!$1:$10</definedName>
    <definedName name="_xlnm.Print_Titles" localSheetId="5">'Victorian-Edwardian'!$1:$10</definedName>
    <definedName name="prog">'Rates'!$G$9</definedName>
    <definedName name="register250">'Rates'!$G$22</definedName>
    <definedName name="sash">'Rates'!$G$18</definedName>
    <definedName name="sashkit">'Rates'!#REF!</definedName>
    <definedName name="sheep">'Rates'!$G$16</definedName>
    <definedName name="space">'Rates'!$G$7</definedName>
    <definedName name="spacep">'Rates'!$G$31</definedName>
    <definedName name="spacetherm">'Rates'!$G$32</definedName>
    <definedName name="spot">'Rates'!$G$3</definedName>
    <definedName name="spot2">'Rates'!$H$3</definedName>
    <definedName name="spotbulb">'Rates'!#REF!</definedName>
    <definedName name="tankstat">'Rates'!$G$11</definedName>
    <definedName name="thresholdbrush">'Rates'!$G$6</definedName>
    <definedName name="TRV">'Rates'!$G$10</definedName>
    <definedName name="underlay">'Rates'!$G$13</definedName>
    <definedName name="vicboards">'Rates'!$G$17</definedName>
  </definedNames>
  <calcPr fullCalcOnLoad="1"/>
</workbook>
</file>

<file path=xl/comments3.xml><?xml version="1.0" encoding="utf-8"?>
<comments xmlns="http://schemas.openxmlformats.org/spreadsheetml/2006/main">
  <authors>
    <author>Administrator</author>
  </authors>
  <commentList>
    <comment ref="H18" authorId="0">
      <text>
        <r>
          <rPr>
            <b/>
            <sz val="8"/>
            <rFont val="Tahoma"/>
            <family val="0"/>
          </rPr>
          <t>Administrator:</t>
        </r>
        <r>
          <rPr>
            <sz val="8"/>
            <rFont val="Tahoma"/>
            <family val="0"/>
          </rPr>
          <t xml:space="preserve">
Spons</t>
        </r>
      </text>
    </comment>
    <comment ref="H69" authorId="0">
      <text>
        <r>
          <rPr>
            <b/>
            <sz val="8"/>
            <rFont val="Tahoma"/>
            <family val="0"/>
          </rPr>
          <t>Administrator:</t>
        </r>
        <r>
          <rPr>
            <sz val="8"/>
            <rFont val="Tahoma"/>
            <family val="0"/>
          </rPr>
          <t xml:space="preserve">
Spons</t>
        </r>
      </text>
    </comment>
    <comment ref="H73" authorId="0">
      <text>
        <r>
          <rPr>
            <b/>
            <sz val="8"/>
            <rFont val="Tahoma"/>
            <family val="0"/>
          </rPr>
          <t>Administrator:</t>
        </r>
        <r>
          <rPr>
            <sz val="8"/>
            <rFont val="Tahoma"/>
            <family val="0"/>
          </rPr>
          <t xml:space="preserve">
Spons</t>
        </r>
      </text>
    </comment>
    <comment ref="H100" authorId="0">
      <text>
        <r>
          <rPr>
            <b/>
            <sz val="8"/>
            <rFont val="Tahoma"/>
            <family val="0"/>
          </rPr>
          <t>Administrator:</t>
        </r>
        <r>
          <rPr>
            <sz val="8"/>
            <rFont val="Tahoma"/>
            <family val="0"/>
          </rPr>
          <t xml:space="preserve">
Spon</t>
        </r>
      </text>
    </comment>
  </commentList>
</comments>
</file>

<file path=xl/comments4.xml><?xml version="1.0" encoding="utf-8"?>
<comments xmlns="http://schemas.openxmlformats.org/spreadsheetml/2006/main">
  <authors>
    <author>Administrator</author>
  </authors>
  <commentList>
    <comment ref="H18" authorId="0">
      <text>
        <r>
          <rPr>
            <b/>
            <sz val="8"/>
            <rFont val="Tahoma"/>
            <family val="0"/>
          </rPr>
          <t>Administrator:</t>
        </r>
        <r>
          <rPr>
            <sz val="8"/>
            <rFont val="Tahoma"/>
            <family val="0"/>
          </rPr>
          <t xml:space="preserve">
Spons</t>
        </r>
      </text>
    </comment>
    <comment ref="H78" authorId="0">
      <text>
        <r>
          <rPr>
            <b/>
            <sz val="8"/>
            <rFont val="Tahoma"/>
            <family val="0"/>
          </rPr>
          <t>Administrator:</t>
        </r>
        <r>
          <rPr>
            <sz val="8"/>
            <rFont val="Tahoma"/>
            <family val="0"/>
          </rPr>
          <t xml:space="preserve">
Spons</t>
        </r>
      </text>
    </comment>
    <comment ref="H92" authorId="0">
      <text>
        <r>
          <rPr>
            <b/>
            <sz val="8"/>
            <rFont val="Tahoma"/>
            <family val="0"/>
          </rPr>
          <t>Administrator:</t>
        </r>
        <r>
          <rPr>
            <sz val="8"/>
            <rFont val="Tahoma"/>
            <family val="0"/>
          </rPr>
          <t xml:space="preserve">
Spons</t>
        </r>
      </text>
    </comment>
    <comment ref="H199" authorId="0">
      <text>
        <r>
          <rPr>
            <b/>
            <sz val="8"/>
            <rFont val="Tahoma"/>
            <family val="0"/>
          </rPr>
          <t>Administrator:</t>
        </r>
        <r>
          <rPr>
            <sz val="8"/>
            <rFont val="Tahoma"/>
            <family val="0"/>
          </rPr>
          <t xml:space="preserve">
Spons</t>
        </r>
      </text>
    </comment>
  </commentList>
</comments>
</file>

<file path=xl/comments5.xml><?xml version="1.0" encoding="utf-8"?>
<comments xmlns="http://schemas.openxmlformats.org/spreadsheetml/2006/main">
  <authors>
    <author>Administrator</author>
  </authors>
  <commentList>
    <comment ref="H18" authorId="0">
      <text>
        <r>
          <rPr>
            <b/>
            <sz val="8"/>
            <rFont val="Tahoma"/>
            <family val="0"/>
          </rPr>
          <t>Administrator:</t>
        </r>
        <r>
          <rPr>
            <sz val="8"/>
            <rFont val="Tahoma"/>
            <family val="0"/>
          </rPr>
          <t xml:space="preserve">
Spons</t>
        </r>
      </text>
    </comment>
    <comment ref="H80" authorId="0">
      <text>
        <r>
          <rPr>
            <b/>
            <sz val="8"/>
            <rFont val="Tahoma"/>
            <family val="0"/>
          </rPr>
          <t>Administrator:</t>
        </r>
        <r>
          <rPr>
            <sz val="8"/>
            <rFont val="Tahoma"/>
            <family val="0"/>
          </rPr>
          <t xml:space="preserve">
Spons</t>
        </r>
      </text>
    </comment>
    <comment ref="H86" authorId="0">
      <text>
        <r>
          <rPr>
            <b/>
            <sz val="8"/>
            <rFont val="Tahoma"/>
            <family val="0"/>
          </rPr>
          <t>Administrator:</t>
        </r>
        <r>
          <rPr>
            <sz val="8"/>
            <rFont val="Tahoma"/>
            <family val="0"/>
          </rPr>
          <t xml:space="preserve">
Spons</t>
        </r>
      </text>
    </comment>
    <comment ref="H117" authorId="0">
      <text>
        <r>
          <rPr>
            <b/>
            <sz val="8"/>
            <rFont val="Tahoma"/>
            <family val="0"/>
          </rPr>
          <t>Administrator:</t>
        </r>
        <r>
          <rPr>
            <sz val="8"/>
            <rFont val="Tahoma"/>
            <family val="0"/>
          </rPr>
          <t xml:space="preserve">
Spon</t>
        </r>
      </text>
    </comment>
  </commentList>
</comments>
</file>

<file path=xl/comments6.xml><?xml version="1.0" encoding="utf-8"?>
<comments xmlns="http://schemas.openxmlformats.org/spreadsheetml/2006/main">
  <authors>
    <author>Administrator</author>
  </authors>
  <commentList>
    <comment ref="H18" authorId="0">
      <text>
        <r>
          <rPr>
            <b/>
            <sz val="8"/>
            <rFont val="Tahoma"/>
            <family val="0"/>
          </rPr>
          <t>Administrator:</t>
        </r>
        <r>
          <rPr>
            <sz val="8"/>
            <rFont val="Tahoma"/>
            <family val="0"/>
          </rPr>
          <t xml:space="preserve">
Spons</t>
        </r>
      </text>
    </comment>
    <comment ref="H86" authorId="0">
      <text>
        <r>
          <rPr>
            <b/>
            <sz val="8"/>
            <rFont val="Tahoma"/>
            <family val="0"/>
          </rPr>
          <t>Administrator:</t>
        </r>
        <r>
          <rPr>
            <sz val="8"/>
            <rFont val="Tahoma"/>
            <family val="0"/>
          </rPr>
          <t xml:space="preserve">
Spons</t>
        </r>
      </text>
    </comment>
    <comment ref="H112" authorId="0">
      <text>
        <r>
          <rPr>
            <b/>
            <sz val="8"/>
            <rFont val="Tahoma"/>
            <family val="0"/>
          </rPr>
          <t>Administrator:</t>
        </r>
        <r>
          <rPr>
            <sz val="8"/>
            <rFont val="Tahoma"/>
            <family val="0"/>
          </rPr>
          <t xml:space="preserve">
Spons</t>
        </r>
      </text>
    </comment>
    <comment ref="H143" authorId="0">
      <text>
        <r>
          <rPr>
            <b/>
            <sz val="8"/>
            <rFont val="Tahoma"/>
            <family val="0"/>
          </rPr>
          <t>Administrator:</t>
        </r>
        <r>
          <rPr>
            <sz val="8"/>
            <rFont val="Tahoma"/>
            <family val="0"/>
          </rPr>
          <t xml:space="preserve">
Spon</t>
        </r>
      </text>
    </comment>
  </commentList>
</comments>
</file>

<file path=xl/comments7.xml><?xml version="1.0" encoding="utf-8"?>
<comments xmlns="http://schemas.openxmlformats.org/spreadsheetml/2006/main">
  <authors>
    <author>Administrator</author>
  </authors>
  <commentList>
    <comment ref="H18" authorId="0">
      <text>
        <r>
          <rPr>
            <b/>
            <sz val="8"/>
            <rFont val="Tahoma"/>
            <family val="0"/>
          </rPr>
          <t>Administrator:</t>
        </r>
        <r>
          <rPr>
            <sz val="8"/>
            <rFont val="Tahoma"/>
            <family val="0"/>
          </rPr>
          <t xml:space="preserve">
Spons</t>
        </r>
      </text>
    </comment>
    <comment ref="H103" authorId="0">
      <text>
        <r>
          <rPr>
            <b/>
            <sz val="8"/>
            <rFont val="Tahoma"/>
            <family val="0"/>
          </rPr>
          <t>Administrator:</t>
        </r>
        <r>
          <rPr>
            <sz val="8"/>
            <rFont val="Tahoma"/>
            <family val="0"/>
          </rPr>
          <t xml:space="preserve">
Spons</t>
        </r>
      </text>
    </comment>
    <comment ref="H116" authorId="0">
      <text>
        <r>
          <rPr>
            <b/>
            <sz val="8"/>
            <rFont val="Tahoma"/>
            <family val="0"/>
          </rPr>
          <t>Administrator:</t>
        </r>
        <r>
          <rPr>
            <sz val="8"/>
            <rFont val="Tahoma"/>
            <family val="0"/>
          </rPr>
          <t xml:space="preserve">
Spons</t>
        </r>
      </text>
    </comment>
    <comment ref="H145" authorId="0">
      <text>
        <r>
          <rPr>
            <b/>
            <sz val="8"/>
            <rFont val="Tahoma"/>
            <family val="0"/>
          </rPr>
          <t>Administrator:</t>
        </r>
        <r>
          <rPr>
            <sz val="8"/>
            <rFont val="Tahoma"/>
            <family val="0"/>
          </rPr>
          <t xml:space="preserve">
Spon</t>
        </r>
      </text>
    </comment>
    <comment ref="J129" authorId="0">
      <text>
        <r>
          <rPr>
            <b/>
            <sz val="8"/>
            <rFont val="Tahoma"/>
            <family val="0"/>
          </rPr>
          <t>Administrator:</t>
        </r>
        <r>
          <rPr>
            <sz val="8"/>
            <rFont val="Tahoma"/>
            <family val="0"/>
          </rPr>
          <t xml:space="preserve">
needs updating - house arrangrment has changed
</t>
        </r>
      </text>
    </comment>
  </commentList>
</comments>
</file>

<file path=xl/comments8.xml><?xml version="1.0" encoding="utf-8"?>
<comments xmlns="http://schemas.openxmlformats.org/spreadsheetml/2006/main">
  <authors>
    <author>Administrator</author>
  </authors>
  <commentList>
    <comment ref="H18" authorId="0">
      <text>
        <r>
          <rPr>
            <b/>
            <sz val="8"/>
            <rFont val="Tahoma"/>
            <family val="0"/>
          </rPr>
          <t>Administrator:</t>
        </r>
        <r>
          <rPr>
            <sz val="8"/>
            <rFont val="Tahoma"/>
            <family val="0"/>
          </rPr>
          <t xml:space="preserve">
Spons</t>
        </r>
      </text>
    </comment>
    <comment ref="H101" authorId="0">
      <text>
        <r>
          <rPr>
            <b/>
            <sz val="8"/>
            <rFont val="Tahoma"/>
            <family val="0"/>
          </rPr>
          <t>Administrator:</t>
        </r>
        <r>
          <rPr>
            <sz val="8"/>
            <rFont val="Tahoma"/>
            <family val="0"/>
          </rPr>
          <t xml:space="preserve">
Spons</t>
        </r>
      </text>
    </comment>
    <comment ref="H124" authorId="0">
      <text>
        <r>
          <rPr>
            <b/>
            <sz val="8"/>
            <rFont val="Tahoma"/>
            <family val="0"/>
          </rPr>
          <t>Administrator:</t>
        </r>
        <r>
          <rPr>
            <sz val="8"/>
            <rFont val="Tahoma"/>
            <family val="0"/>
          </rPr>
          <t xml:space="preserve">
Spons</t>
        </r>
      </text>
    </comment>
    <comment ref="J137" authorId="0">
      <text>
        <r>
          <rPr>
            <b/>
            <sz val="8"/>
            <rFont val="Tahoma"/>
            <family val="0"/>
          </rPr>
          <t>Administrator:</t>
        </r>
        <r>
          <rPr>
            <sz val="8"/>
            <rFont val="Tahoma"/>
            <family val="0"/>
          </rPr>
          <t xml:space="preserve">
needs updating - house arrangrment has changed
</t>
        </r>
      </text>
    </comment>
  </commentList>
</comments>
</file>

<file path=xl/sharedStrings.xml><?xml version="1.0" encoding="utf-8"?>
<sst xmlns="http://schemas.openxmlformats.org/spreadsheetml/2006/main" count="2635" uniqueCount="442">
  <si>
    <t>Quantity</t>
  </si>
  <si>
    <t>Item</t>
  </si>
  <si>
    <t>Amount</t>
  </si>
  <si>
    <t>ESTIMATED COSTS</t>
  </si>
  <si>
    <t>Labour</t>
  </si>
  <si>
    <t>BANES - Retrofitted Energy Saving Measures</t>
  </si>
  <si>
    <t>Sash windows</t>
  </si>
  <si>
    <t>Delivery</t>
  </si>
  <si>
    <t>Nr</t>
  </si>
  <si>
    <t>Rate</t>
  </si>
  <si>
    <t>Comments</t>
  </si>
  <si>
    <t>Contractor</t>
  </si>
  <si>
    <t>DIY</t>
  </si>
  <si>
    <t>Labour (hours)</t>
  </si>
  <si>
    <t>Mats</t>
  </si>
  <si>
    <t>GU10 bulb</t>
  </si>
  <si>
    <t>Compact flourescent bulb</t>
  </si>
  <si>
    <t>Replace bulbs with compact flourescents:</t>
  </si>
  <si>
    <t>Pendants/ standard and table lamps</t>
  </si>
  <si>
    <t>GU10 spot lamps</t>
  </si>
  <si>
    <t>Kitchen - 6</t>
  </si>
  <si>
    <t>Living - 3, Dining - 3, Bed 1 - 3, Bed 2 - 2, Bed 3 - 2, Bath - 1, Halls - 2</t>
  </si>
  <si>
    <t>Significant variation on price depending upon make.  Economy range assumed</t>
  </si>
  <si>
    <t>Sundry consumables/ materials</t>
  </si>
  <si>
    <t>Pin on brush strip - door</t>
  </si>
  <si>
    <t>Pin on bottom excluder strip - door</t>
  </si>
  <si>
    <t>Pin on brush seal; head and jambs</t>
  </si>
  <si>
    <t>Pin on bottom brush strip</t>
  </si>
  <si>
    <t>Carried out from inside; assuming 8m strip per window</t>
  </si>
  <si>
    <t>Pin on brush strips and rubber seals</t>
  </si>
  <si>
    <t>Delivery intrnet sourced materials</t>
  </si>
  <si>
    <t>Nails, sealant,.etc</t>
  </si>
  <si>
    <t>http://www.homebase.co.uk/webapp/wcs/stores/servlet/Search?storeId=10151&amp;catalogId=1500001201&amp;langId=110&amp;searchTerms=insulation&amp;authToken=</t>
  </si>
  <si>
    <t>http://www.homebase.co.uk/webapp/wcs/stores/servlet/ProductDisplay?langId=110&amp;storeId=10151&amp;partNumber=459236&amp;Trail=searchtext&gt;INSULATION</t>
  </si>
  <si>
    <t>Spaceblanket insulation 150mm thick</t>
  </si>
  <si>
    <t>m2</t>
  </si>
  <si>
    <t>set</t>
  </si>
  <si>
    <t>Hour</t>
  </si>
  <si>
    <t>150mm thick Spaceblanket</t>
  </si>
  <si>
    <t>assumes top up of one layer</t>
  </si>
  <si>
    <t>Pin on brush seals to loft hatch</t>
  </si>
  <si>
    <t>Glidevale eaves ventilators RV 401</t>
  </si>
  <si>
    <t>Eaves ventilator</t>
  </si>
  <si>
    <t>Sundry materials</t>
  </si>
  <si>
    <t>Prob cheaper to employ specialist</t>
  </si>
  <si>
    <t>Two zone programmer</t>
  </si>
  <si>
    <t>Thermostatic rad valves</t>
  </si>
  <si>
    <t>Thermostat to hot water tank</t>
  </si>
  <si>
    <t>http://www.plumbnation.co.uk/site/honeywell-st9500c-7-day-two-zone--programmer/</t>
  </si>
  <si>
    <t>http://www.plumbnation.co.uk/site/danfoss-randall-ras-c2-thermostatic-radiator-valves--trv-only-/</t>
  </si>
  <si>
    <t>http://www.plumbnation.co.uk/site/cylinder---pipe-thermostats/</t>
  </si>
  <si>
    <t>Two zone heating controller</t>
  </si>
  <si>
    <t>Thermostatic radiator valves</t>
  </si>
  <si>
    <t>Thermostatic control to hot water tank</t>
  </si>
  <si>
    <t>Assumingt access available - does not include lifting carpets, etc.</t>
  </si>
  <si>
    <t>http://www.fabricuk.com/fabrics.php?fabric_type=356</t>
  </si>
  <si>
    <t>Thermal curtain lining</t>
  </si>
  <si>
    <t>Heavy weight thermal linings to existing curtains</t>
  </si>
  <si>
    <t>Depends on size/type/weight</t>
  </si>
  <si>
    <t>lounge/ dining</t>
  </si>
  <si>
    <t>Lifting/ relaying existing carpet</t>
  </si>
  <si>
    <t>Wool mix underlay</t>
  </si>
  <si>
    <t>Underlay</t>
  </si>
  <si>
    <t>http://www.tradepriced.co.uk/enviro_felt_underlay.html</t>
  </si>
  <si>
    <t>Assumes lifting existing carpet</t>
  </si>
  <si>
    <t>http://www.blinds-supermarket.co.uk/ourProducts/product_details.aspx?product_id=1530&amp;width=200&amp;drop=174</t>
  </si>
  <si>
    <t>Ready made blackouts</t>
  </si>
  <si>
    <t>Average price per window</t>
  </si>
  <si>
    <t>Storm windows</t>
  </si>
  <si>
    <t>Tap aerator</t>
  </si>
  <si>
    <t>http://www.biggreensmile.com/search.aspx?q=aerator</t>
  </si>
  <si>
    <t>Remove floorboards and set aside</t>
  </si>
  <si>
    <t>Netlon netting trays</t>
  </si>
  <si>
    <t>Netlon</t>
  </si>
  <si>
    <t>http://www.hardware-ironmongers.com/details.aspx?code=4470283</t>
  </si>
  <si>
    <t>Sundry materials and tools (staples, etc)</t>
  </si>
  <si>
    <t>Sheepswool 100mm thick</t>
  </si>
  <si>
    <t>http://www.ecomerchant.co.uk/content/thermafleece-pb20-natural-insulation</t>
  </si>
  <si>
    <t>Delivery of materials</t>
  </si>
  <si>
    <t>Refix boards</t>
  </si>
  <si>
    <t>Allowance for new boards to replace breakages (20%)</t>
  </si>
  <si>
    <t>http://www.ukarchitecturalantiques.com/pine_square_edged_antique_victorian_floorboards_3485</t>
  </si>
  <si>
    <t>Victorian square edged floorboards</t>
  </si>
  <si>
    <t>3.0 BASIC</t>
  </si>
  <si>
    <t>3.1 Supplementary loft insulation</t>
  </si>
  <si>
    <t>3.2 'DIY' Draught Proofing</t>
  </si>
  <si>
    <t>3.2 Low Energy Lighting</t>
  </si>
  <si>
    <t>3.3 Improved Heating controls</t>
  </si>
  <si>
    <t>3.4 Curtains</t>
  </si>
  <si>
    <t>3.5 Carpet underlay (wool/felt)</t>
  </si>
  <si>
    <t>3.6 Thermal Blinds</t>
  </si>
  <si>
    <t>3.7 Secondary Glazing</t>
  </si>
  <si>
    <t>4.0 OPPORTUNITY</t>
  </si>
  <si>
    <t>4.1 Water efficiency</t>
  </si>
  <si>
    <t>These measures cost neutral if carried out as part of refit - i.e. no additional cost for spray tap as oppposed to standard tap</t>
  </si>
  <si>
    <t>4.2 Suspended Ground Floor Insulation</t>
  </si>
  <si>
    <t>4.3 Professional Draughtproofing</t>
  </si>
  <si>
    <t>Sash draughtproofing</t>
  </si>
  <si>
    <t xml:space="preserve">Englefield: includes adjustment of sash weights, repalcement cords, lubrication, reputtying where required </t>
  </si>
  <si>
    <t>Includes rebalancing sashes, planing edges, renewing cords, repairing putty, waxing</t>
  </si>
  <si>
    <t>4.4 Boiler Replacement</t>
  </si>
  <si>
    <t>Boiler 12kW</t>
  </si>
  <si>
    <t>http://www.plumbnation.co.uk/site/vaillant-ecotec-plus-612-system-boiler-natural-gas/</t>
  </si>
  <si>
    <t>Boiler in same location on external wall</t>
  </si>
  <si>
    <t>4.5 Roof underlay</t>
  </si>
  <si>
    <t>http://cgi.ebay.co.uk/Proctor-Roofshield-Breather-Membrane-%2f-Felt-50mx1m-Roll_W0QQitemZ160355619689QQcmdZViewItem?rvr_id=218889668942&amp;rvr_id=218889668942&amp;cguid=9513106e12e0a47a08555515ffe88cbb</t>
  </si>
  <si>
    <t>Proctor roofshield</t>
  </si>
  <si>
    <t>Battens</t>
  </si>
  <si>
    <t>m</t>
  </si>
  <si>
    <t>Caulk, staples, sundry materials</t>
  </si>
  <si>
    <t>days</t>
  </si>
  <si>
    <t>2 men x 2 days</t>
  </si>
  <si>
    <t>Allow for temporary boarding/ access</t>
  </si>
  <si>
    <t>5.0 PASSIVE</t>
  </si>
  <si>
    <t>5.1 PIR heat/motion sensors to stairwell</t>
  </si>
  <si>
    <t>Timeguard ZV810</t>
  </si>
  <si>
    <t>http://www.alertelectrical.com/prod/3099/timeguard-zv810-motion-sensor-pir-light-switch?utm_source=google-base&amp;utm_medium=web&amp;utm_campaign=google-base-feed</t>
  </si>
  <si>
    <t>PIR lightswitch</t>
  </si>
  <si>
    <t>minimum cal out charge 2hrs</t>
  </si>
  <si>
    <t>minimum 2 rolls</t>
  </si>
  <si>
    <t>5.2 Draughtproofing chimney flues</t>
  </si>
  <si>
    <t>Register plate - 250 x 250mm</t>
  </si>
  <si>
    <t>Register plate 250 x 250</t>
  </si>
  <si>
    <t>http://www.stovesonline.co.uk/wood_burning_stoves/Register-Plates.html</t>
  </si>
  <si>
    <t>minimum half day work</t>
  </si>
  <si>
    <t>Sundry materials/plant</t>
  </si>
  <si>
    <t>5.3 Draughtproofing floors</t>
  </si>
  <si>
    <t>Sheepswool packed under skirtings</t>
  </si>
  <si>
    <t>Tempered hardboard to boards</t>
  </si>
  <si>
    <t>http://catalogue.chilterntimber.co.uk/product8900625catno740625.html</t>
  </si>
  <si>
    <t>Tempered hardboard</t>
  </si>
  <si>
    <t>Lifting/ relaying carpet</t>
  </si>
  <si>
    <t>Grippers</t>
  </si>
  <si>
    <t>5.4 Suspended underfloor insulation</t>
  </si>
  <si>
    <t>5.5 Living green Walls</t>
  </si>
  <si>
    <t>5.6 Thermal Shutters</t>
  </si>
  <si>
    <t>Purpose made MDF shutters and boxes</t>
  </si>
  <si>
    <t>Budget only - no design</t>
  </si>
  <si>
    <t>5.7 Double/triple glazing</t>
  </si>
  <si>
    <t>5.8 Insulated solid floors</t>
  </si>
  <si>
    <t>5.9 Cavity Wall Isulation</t>
  </si>
  <si>
    <t>No cost - assume virginia creeper?....</t>
  </si>
  <si>
    <t>5.10 External wall insulation, externally</t>
  </si>
  <si>
    <t>5.11 External wall insulation, internally</t>
  </si>
  <si>
    <t>6.0 ACTIVE</t>
  </si>
  <si>
    <t>6.1 Mechanical Heat and Ventilation Recovery</t>
  </si>
  <si>
    <t>6.2 Ground Source Heat Pump</t>
  </si>
  <si>
    <t>6.3 Biomass stove</t>
  </si>
  <si>
    <t>Based on 5kW standard stove</t>
  </si>
  <si>
    <t>Purchase stove - Stockton 5</t>
  </si>
  <si>
    <t>Smoke control kit</t>
  </si>
  <si>
    <t>Fitting</t>
  </si>
  <si>
    <t>Liner and vermiculite</t>
  </si>
  <si>
    <t xml:space="preserve">Forming ventilation hole through external wall; grille. </t>
  </si>
  <si>
    <t>Register plate</t>
  </si>
  <si>
    <t xml:space="preserve">Assumes installation from ladder and roof ladder      </t>
  </si>
  <si>
    <t>6.4 Solar Thermal</t>
  </si>
  <si>
    <t>http://www.energysavingtrust.org.uk/Generate-your-own-energy/Solar-electricity</t>
  </si>
  <si>
    <t>Typical installation</t>
  </si>
  <si>
    <t>Based on 4kW system</t>
  </si>
  <si>
    <t>£4-5K / kW</t>
  </si>
  <si>
    <t>6.5 Solar PV</t>
  </si>
  <si>
    <t>http://www.energysavingtrust.org.uk/Generate-your-own-energy/Solar-water-heating</t>
  </si>
  <si>
    <t>6.6 Micro CHP</t>
  </si>
  <si>
    <t>http://www.bhl.co.uk/product/BAXI_ECOGEN_2410_MICRO_CHP_HEAT_AND_POWER_GAS_BOILER</t>
  </si>
  <si>
    <t>Purchase</t>
  </si>
  <si>
    <t>incl vat</t>
  </si>
  <si>
    <t>Fitting - day and a half</t>
  </si>
  <si>
    <t>2 operatives</t>
  </si>
  <si>
    <t>http://www.baxi.co.uk/1359.htm</t>
  </si>
  <si>
    <t>Installation</t>
  </si>
  <si>
    <t>ICE Energy</t>
  </si>
  <si>
    <t>R C Cook</t>
  </si>
  <si>
    <t>6.7 Air Source Heat Pump</t>
  </si>
  <si>
    <t>RC Cook figure + VAT</t>
  </si>
  <si>
    <t>Remmers iQ-Thermsystem</t>
  </si>
  <si>
    <t>Remove existing paint from plaster</t>
  </si>
  <si>
    <t>Render wall with 1 coat iQ-fix</t>
  </si>
  <si>
    <t>iQ Tex reinforcement</t>
  </si>
  <si>
    <t>iQ Fill</t>
  </si>
  <si>
    <t>Flat walls</t>
  </si>
  <si>
    <t>Reveals</t>
  </si>
  <si>
    <t>iQ therm wedge panels</t>
  </si>
  <si>
    <t>Returns</t>
  </si>
  <si>
    <t>Spon p 640</t>
  </si>
  <si>
    <t>Take off skirtings</t>
  </si>
  <si>
    <t>Refixing skirtings</t>
  </si>
  <si>
    <t>Spon p 520</t>
  </si>
  <si>
    <t>Spon p 526</t>
  </si>
  <si>
    <t>Modify skirting ends</t>
  </si>
  <si>
    <t>Take off window/ door architraves</t>
  </si>
  <si>
    <t>Extend window/ door linings to match</t>
  </si>
  <si>
    <t>Replace window/ door architraves</t>
  </si>
  <si>
    <t>Spons page 728</t>
  </si>
  <si>
    <t>Allowance for replacement mouldings to replace dameaged</t>
  </si>
  <si>
    <t>Fibrous plaster cornices planted on</t>
  </si>
  <si>
    <t>Mould</t>
  </si>
  <si>
    <t>Supply/ fiitting of cornice</t>
  </si>
  <si>
    <t>Stevensons of Norwich</t>
  </si>
  <si>
    <t>Fettling work at ends of cornices</t>
  </si>
  <si>
    <t>iQ therm panels (80mm)</t>
  </si>
  <si>
    <t>Wash down walls with sugar soap</t>
  </si>
  <si>
    <t>General Notes</t>
  </si>
  <si>
    <t xml:space="preserve">The costings in the exercise are based on a series of standard model buildings.  Costs for actual buildings will vary according to size, nature, location, orientation and condition.    </t>
  </si>
  <si>
    <t xml:space="preserve">Costings generally include VAT at the prevailing rates: 20% generally and 5% for energy saving materials (as designated by HMRC).  Where a building is listed, measures which constitute 'alterations' (as defined by HMRC) and which have been given listed building consent will be subject to zero rating.  It is assumed that the the 17th and 18th Century buildings are listed. </t>
  </si>
  <si>
    <t>The exercise includes works which involve new techniques and technologies for which there is a relative paucity of market cost information.It is likely that tender prices for such work may vary significantly due to the inexperience of contractors with specific materials/ techniques and the changing prices of products as the market develops.</t>
  </si>
  <si>
    <t>Price</t>
  </si>
  <si>
    <t>Discount</t>
  </si>
  <si>
    <t>VAT</t>
  </si>
  <si>
    <t>Wastage</t>
  </si>
  <si>
    <t>Homebase less VAT</t>
  </si>
  <si>
    <t>Retail less VAT</t>
  </si>
  <si>
    <t>iQ panels (80mm)</t>
  </si>
  <si>
    <t>iQ adhesive</t>
  </si>
  <si>
    <t>iQ top (10mm thick)</t>
  </si>
  <si>
    <t>m3</t>
  </si>
  <si>
    <t>iQ finish</t>
  </si>
  <si>
    <t>iQ Top plaster (in 2 layers)</t>
  </si>
  <si>
    <t>iQ reinforcement</t>
  </si>
  <si>
    <t>iQ wedge</t>
  </si>
  <si>
    <t>Permagard Product Ltd</t>
  </si>
  <si>
    <t>n.b. Permagard approved</t>
  </si>
  <si>
    <t xml:space="preserve">installers report rates of </t>
  </si>
  <si>
    <t>£140-£150/m2 for 50mm boards</t>
  </si>
  <si>
    <t>(excl VAT)</t>
  </si>
  <si>
    <t>iQ therm reveal panels</t>
  </si>
  <si>
    <t>iQ reveal</t>
  </si>
  <si>
    <t>Excludes decoration; assumes floors insulated elesewhere</t>
  </si>
  <si>
    <t>17C/V&amp;E</t>
  </si>
  <si>
    <t>Celotex insulation; 50mm thick</t>
  </si>
  <si>
    <t>25 x 50mm battens in grid; screwed through into wall</t>
  </si>
  <si>
    <t>Spon p601</t>
  </si>
  <si>
    <t>Spon p638</t>
  </si>
  <si>
    <t>Plasterboard</t>
  </si>
  <si>
    <t>Skim coat plaster</t>
  </si>
  <si>
    <t>Spon p 687</t>
  </si>
  <si>
    <t>37mm thick composite board fixed with adhesive at reveals and returns; 300mm wide</t>
  </si>
  <si>
    <t>Allow for beads</t>
  </si>
  <si>
    <t>18C - Aerogel</t>
  </si>
  <si>
    <t>Early Modern/ Late Modern - Celotex</t>
  </si>
  <si>
    <t>Spacetherm P between features</t>
  </si>
  <si>
    <t>Spacetherm behind panellings, shutter boxes, soffits, etc.</t>
  </si>
  <si>
    <t>Spacetherm P - 10mm + 9.5mm board</t>
  </si>
  <si>
    <t>Spacetherm blanket 10mm</t>
  </si>
  <si>
    <t>Proctor group</t>
  </si>
  <si>
    <t>spon p 525</t>
  </si>
  <si>
    <t>Refixing panellings</t>
  </si>
  <si>
    <t>Say same as removal</t>
  </si>
  <si>
    <t>Removing panellings; setting aside</t>
  </si>
  <si>
    <t>Removing shutter box, head and window board; set aside; refixing after</t>
  </si>
  <si>
    <t>Assume 1.5 days for joiner</t>
  </si>
  <si>
    <t>Maintenance</t>
  </si>
  <si>
    <t>Maintenance/ Renewal</t>
  </si>
  <si>
    <t>Replace Cost</t>
  </si>
  <si>
    <t>Maintain Cost</t>
  </si>
  <si>
    <t>Annualised Cost</t>
  </si>
  <si>
    <t>Life (years)</t>
  </si>
  <si>
    <t>Replacement</t>
  </si>
  <si>
    <t>1 hour plumber, 2hrs electrics</t>
  </si>
  <si>
    <t>Conversion to two zone heating</t>
  </si>
  <si>
    <t>Depends greatly on existing system layout</t>
  </si>
  <si>
    <t>Replacement blinds</t>
  </si>
  <si>
    <t>Replacement strips</t>
  </si>
  <si>
    <t>Nr of windows x cost/wdw</t>
  </si>
  <si>
    <t>Any 'extra' cost here above what would be required? In any case    ?</t>
  </si>
  <si>
    <t>Presume this would not be replaced?</t>
  </si>
  <si>
    <t>Awaiting cost information</t>
  </si>
  <si>
    <t>Service heat pumps</t>
  </si>
  <si>
    <t>Assumed connection to existing heat distribution system</t>
  </si>
  <si>
    <t>??</t>
  </si>
  <si>
    <t>Replace coolant</t>
  </si>
  <si>
    <t>Periodic repalcement parts</t>
  </si>
  <si>
    <t>No cost</t>
  </si>
  <si>
    <t>Sweep chimney</t>
  </si>
  <si>
    <t>Replace glass</t>
  </si>
  <si>
    <t>Replace firebricks</t>
  </si>
  <si>
    <t>Cleaning</t>
  </si>
  <si>
    <t>Service heat pump</t>
  </si>
  <si>
    <t>Periodic replacement parts</t>
  </si>
  <si>
    <t>BASE COST MODEL</t>
  </si>
  <si>
    <t>17C</t>
  </si>
  <si>
    <t>Lift existing flagstone floor; label</t>
  </si>
  <si>
    <t>Cross Lane House - Sweetlands</t>
  </si>
  <si>
    <t>Excavating to reduce levels; dispose</t>
  </si>
  <si>
    <t>level and compact; lay Terram</t>
  </si>
  <si>
    <t>Expanded clay aggregate 100mm thick</t>
  </si>
  <si>
    <t>Levelling clay agregate 50 thick and Terram</t>
  </si>
  <si>
    <t>Limecrete 150mm thick</t>
  </si>
  <si>
    <t>Relay flags in lime mortar</t>
  </si>
  <si>
    <t>Early/ late modern</t>
  </si>
  <si>
    <t>Assumes exposed flags</t>
  </si>
  <si>
    <t>Assumes carpetted screed</t>
  </si>
  <si>
    <t>Take up edge fixed carpets and grippers</t>
  </si>
  <si>
    <t>Spacetherm MR; laid loose</t>
  </si>
  <si>
    <t>New grippers</t>
  </si>
  <si>
    <t>To discuss - Barings advise against blown polybead in existing insulated cavity.</t>
  </si>
  <si>
    <t>No maintenance/ replacement</t>
  </si>
  <si>
    <t>Cost information awaited</t>
  </si>
  <si>
    <t>Unit</t>
  </si>
  <si>
    <t>Comment</t>
  </si>
  <si>
    <t>Source</t>
  </si>
  <si>
    <t>Average rate</t>
  </si>
  <si>
    <t xml:space="preserve">The costings assume that the building to be treated is in good structural order with all relevant maintenance routines up to date </t>
  </si>
  <si>
    <t>BANES - Retrofitting Energy Efficiency Measures in Existing Buildings</t>
  </si>
  <si>
    <t>17C - Passivent</t>
  </si>
  <si>
    <t>Supply</t>
  </si>
  <si>
    <t>Passivent 17C</t>
  </si>
  <si>
    <t>Passivent estimate 31.3.11</t>
  </si>
  <si>
    <t>18C - ihybrid</t>
  </si>
  <si>
    <t>House too large for Passivent</t>
  </si>
  <si>
    <t>ihybrid vent system 17C</t>
  </si>
  <si>
    <t>Fitting ditto</t>
  </si>
  <si>
    <t>Profit incl in estimate</t>
  </si>
  <si>
    <t>Vent Services.co.uk estimate - e-mail 4.4.11</t>
  </si>
  <si>
    <t>Victorian/Edwardian</t>
  </si>
  <si>
    <t>Passivent Victorian/ Edwardian</t>
  </si>
  <si>
    <t>Early Modern</t>
  </si>
  <si>
    <t>ihybrid vent system early modern</t>
  </si>
  <si>
    <t>ihybrid vent system late modern</t>
  </si>
  <si>
    <t>Late Modern</t>
  </si>
  <si>
    <t>Polybead floor insulation</t>
  </si>
  <si>
    <t>18C</t>
  </si>
  <si>
    <t>Not applicable to this house type</t>
  </si>
  <si>
    <t>Pavadentro insulation</t>
  </si>
  <si>
    <t xml:space="preserve">Budget price based on I Walker direct experience </t>
  </si>
  <si>
    <t>Rate allows for work into openings</t>
  </si>
  <si>
    <t>Estimate by Dales gutters</t>
  </si>
  <si>
    <t>New purpose made gutter with 'apron' extension; including allowance for fittings</t>
  </si>
  <si>
    <t>Removing existing eaves gutters,  downpipes, soil pipes</t>
  </si>
  <si>
    <t>Refixing rainwater and soil pipes; allowance for additional lenghts of pipe/ fixings</t>
  </si>
  <si>
    <t>60mm Pavadentro on levelling coat plaster with lime render and limewash finish; quantity allows for polystryrene plinth at low level and insect mesh at foot</t>
  </si>
  <si>
    <t>Excavate for and installl French drain around perimeter</t>
  </si>
  <si>
    <t>Allow for scaffolding</t>
  </si>
  <si>
    <t>Allow for lead coverings to extend parapet width; treated softwood cradling; plywood; cosde 6 lead</t>
  </si>
  <si>
    <t>Taking down ceiling to flat roof bay; insulationg; replacing ceiling</t>
  </si>
  <si>
    <t>floor void</t>
  </si>
  <si>
    <t>do</t>
  </si>
  <si>
    <t>x</t>
  </si>
  <si>
    <t>doors</t>
  </si>
  <si>
    <t>Allowance for replacement mouldings to replace damaged</t>
  </si>
  <si>
    <t>Overheads/Profit</t>
  </si>
  <si>
    <t>Carried out from inside</t>
  </si>
  <si>
    <t>Rubber seals</t>
  </si>
  <si>
    <t>Thermal blackouts, ready made</t>
  </si>
  <si>
    <t>Average rate/m2 from Moodbox.co.uk</t>
  </si>
  <si>
    <t>Multiple blinds required on large wdws</t>
  </si>
  <si>
    <t>Storm Windows quote 12.4.11</t>
  </si>
  <si>
    <t>Need more details - opening lights?</t>
  </si>
  <si>
    <t>Allow for detailing around bay roofs</t>
  </si>
  <si>
    <t xml:space="preserve">The exercise does not take into account various initiatives by government, energy companies and others to install energy saving measures such as roof insulation.  Prices quoted for such works are subject to special offers, cross subsidy and other pricing distortions and cannot be relied upon to be available at all times.  </t>
  </si>
  <si>
    <t>Celotex 50mm thick</t>
  </si>
  <si>
    <t>http://www.discountedheating.co.uk/shop/acatalog/Celotex_GA4000_2400_x_1200_x_50mm_General_Purpose_Insulation.html</t>
  </si>
  <si>
    <t>Celotex tape</t>
  </si>
  <si>
    <t>http://www.toolstation.com/shop/p32233</t>
  </si>
  <si>
    <t>37mm thick composite board fixed with adhesive at reveals and returns; 200mm wide</t>
  </si>
  <si>
    <t>Taking off/ refixing skirtings/picture rails</t>
  </si>
  <si>
    <t>5.9 Cavity Wall Insulation</t>
  </si>
  <si>
    <t>VICTORIAN-EDWARDIAN HOUSE</t>
  </si>
  <si>
    <t>Replacing window boards</t>
  </si>
  <si>
    <t>Excludes decoration; assumes floors insulated elesewhere; assumes existing wall finishes remain; assumes staircase not removed/repositioned</t>
  </si>
  <si>
    <t>Sundry work/ materials</t>
  </si>
  <si>
    <t>Timber trim at returns to insulation where internal wall intersections</t>
  </si>
  <si>
    <t>Contingency</t>
  </si>
  <si>
    <t>%</t>
  </si>
  <si>
    <t>minimum call out charge 2hrs</t>
  </si>
  <si>
    <t>Budget cost e-mail 4.4.11 passivent/ vent services</t>
  </si>
  <si>
    <t>Delivery internet sourced materials</t>
  </si>
  <si>
    <t>RC Cook figure + VAT+ £250 for larger boiler</t>
  </si>
  <si>
    <t>assumes top up of one layer to roof apex only</t>
  </si>
  <si>
    <t>17 Century Cottage</t>
  </si>
  <si>
    <t>Purpose made lead ventilation detail</t>
  </si>
  <si>
    <t>Not a DIY option due to ventialtion requirements</t>
  </si>
  <si>
    <t>Silicone sealant to metal casements</t>
  </si>
  <si>
    <t>Greys Court; assuming 8Nr opening casements</t>
  </si>
  <si>
    <t>Living - 3, Dining - 3, Bed 1 - 3, Bed 2 - 2, Bath - 1, Halls - 2</t>
  </si>
  <si>
    <t>lounge/ hall only</t>
  </si>
  <si>
    <t>See Item 3.2 above</t>
  </si>
  <si>
    <t>Not feasible on this house type</t>
  </si>
  <si>
    <t>Excavate for and install French drain around perimeter</t>
  </si>
  <si>
    <t>Allow for lead Flashings/fillets at head of parapets</t>
  </si>
  <si>
    <t>Cradling out and extending verge of gables</t>
  </si>
  <si>
    <t>assuming stone tiles</t>
  </si>
  <si>
    <t>Polybead cavity insulation</t>
  </si>
  <si>
    <t>Barings Insulation</t>
  </si>
  <si>
    <t>Polybead insulation</t>
  </si>
  <si>
    <t>Barings Insualtion</t>
  </si>
  <si>
    <t>LATE MODERN DETATCHED</t>
  </si>
  <si>
    <t>EARLY MODERN SEMI-DETACHED</t>
  </si>
  <si>
    <t>Routering groove and installing brush strips</t>
  </si>
  <si>
    <t>opening casements and doors- London Secondary Glazing Company budget guide</t>
  </si>
  <si>
    <t>Barings indicative cost - not suitable where eisting insulation</t>
  </si>
  <si>
    <t>Is this system appropriate for this house type?</t>
  </si>
  <si>
    <t>Taking off/ refixing skirtings</t>
  </si>
  <si>
    <t>Excludes decoration; assumes floors insulated elesewhere; assumes existing wall finishes remain</t>
  </si>
  <si>
    <t>Hearth</t>
  </si>
  <si>
    <t>External stainless steel flue</t>
  </si>
  <si>
    <t>Budget price - StovesOnline</t>
  </si>
  <si>
    <t>18th Century Townhouse</t>
  </si>
  <si>
    <t>Not to mansard</t>
  </si>
  <si>
    <t>Ventilation space left at perimeters</t>
  </si>
  <si>
    <t>Carried out from inside; assuming 9m strip per window</t>
  </si>
  <si>
    <t>Costings for the 18th century townhouse exclude the undercroft</t>
  </si>
  <si>
    <t>Not applicable to this house type - stone flags in basement</t>
  </si>
  <si>
    <t xml:space="preserve">Includes rebalancing sashes, planing edges, renewing cords, repairing putty, waxing </t>
  </si>
  <si>
    <t>RC Cook figure + VAT+ £1250 for larger boiler</t>
  </si>
  <si>
    <t>Not applicable to this house type - mansard inaccessible</t>
  </si>
  <si>
    <t>Not applicable to this house type - stone flag floor</t>
  </si>
  <si>
    <t>Easing and adjusting shutters; making operable</t>
  </si>
  <si>
    <t>Average - depends on condition/ state of repair.  See also the Mynde and Stowe Phase 2</t>
  </si>
  <si>
    <t>Rear façade only</t>
  </si>
  <si>
    <t>Removing existing soil pipes</t>
  </si>
  <si>
    <t>Allow for adjusting lead parapet outlet</t>
  </si>
  <si>
    <t>Allow for lead covering to parapet and extending parapet with timbe rcradling to cover top of insulation</t>
  </si>
  <si>
    <t xml:space="preserve">Assumes shot fixing (alternative is surface battens or cutting channels in plaster for battens which may have LBC implications?)  </t>
  </si>
  <si>
    <t xml:space="preserve">Spacetherm P </t>
  </si>
  <si>
    <t>Spacetherm blanket behind panelling</t>
  </si>
  <si>
    <t>Carefully removing and refixing panelling</t>
  </si>
  <si>
    <t>Spacetherm blanket behind shutterboxes</t>
  </si>
  <si>
    <t>ddt blanket behind panelling</t>
  </si>
  <si>
    <t>ddt floors</t>
  </si>
  <si>
    <t>add to door reveals</t>
  </si>
  <si>
    <t>Carefully removing and refixing skirtings where no panelling</t>
  </si>
  <si>
    <t>Modify skirting/ panelling ends</t>
  </si>
  <si>
    <t>Excludes decoration; assumes floors insulated elesewhere.  Allows for front and rear walls.  Assumes 10mm aerogel.</t>
  </si>
  <si>
    <t>RC Cook indicative price + £10K for system size</t>
  </si>
  <si>
    <t>Based on 2Nr 5kW standard stoves</t>
  </si>
  <si>
    <t>R C Cook + £5K for system size</t>
  </si>
  <si>
    <t>incl vat + £3K for system size</t>
  </si>
  <si>
    <t>5.4 Suspended upper floor insulation</t>
  </si>
  <si>
    <t>Mobilisation cost</t>
  </si>
  <si>
    <t>Barings indicative price</t>
  </si>
  <si>
    <t>Volume of beads</t>
  </si>
  <si>
    <t>Polybeads.co.uk</t>
  </si>
  <si>
    <t>Polybead bulk</t>
  </si>
  <si>
    <t>Polybead.co.uk</t>
  </si>
  <si>
    <t>Drilling holes in boards for access; refixing 'plug' after</t>
  </si>
  <si>
    <t>Double glazing units</t>
  </si>
  <si>
    <t>Removing single glazing and replacing with 4-6-4 dg units with thermal break, argon and low-e glass</t>
  </si>
  <si>
    <t>Spon 2009 + £75 for thermalbreak, argon and removing old units</t>
  </si>
  <si>
    <t>Filling behind cornices with sheepswool from floor void above</t>
  </si>
  <si>
    <t>Taking up floorboards for access to last; refixing after</t>
  </si>
  <si>
    <t>2Nr board per m run.  No allowance for repalcement boards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</si>
</sst>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quot;/&quot;"/>
    <numFmt numFmtId="166" formatCode="&quot;Yes&quot;;&quot;Yes&quot;;&quot;No&quot;"/>
    <numFmt numFmtId="167" formatCode="&quot;True&quot;;&quot;True&quot;;&quot;False&quot;"/>
    <numFmt numFmtId="168" formatCode="&quot;On&quot;;&quot;On&quot;;&quot;Off&quot;"/>
    <numFmt numFmtId="169" formatCode="#,##0;[Red]\(#,##0\)"/>
    <numFmt numFmtId="170" formatCode="#,##0.00;[Red]\(#,##0.00\)"/>
    <numFmt numFmtId="171" formatCode="0.0&quot;/&quot;"/>
    <numFmt numFmtId="172" formatCode="#,##0.000;[Red]\(#,##0.000\)"/>
    <numFmt numFmtId="173" formatCode="#,##0.0;[Red]\(#,##0.0\)"/>
    <numFmt numFmtId="174" formatCode="0.0"/>
    <numFmt numFmtId="175" formatCode="#,##0.0000;[Red]\(#,##0.0000\)"/>
    <numFmt numFmtId="176" formatCode="0.00&quot;/&quot;"/>
    <numFmt numFmtId="177" formatCode="0.000"/>
    <numFmt numFmtId="178" formatCode="#,##0.0"/>
    <numFmt numFmtId="179" formatCode="0.0%"/>
    <numFmt numFmtId="180" formatCode="&quot;£&quot;#,##0"/>
    <numFmt numFmtId="181" formatCode="#,##0.000"/>
    <numFmt numFmtId="182" formatCode="dd\ mmm\ yyyy"/>
    <numFmt numFmtId="183" formatCode="_-* #,##0_-;\-* #,##0_-;_-* &quot;-&quot;??_-;_-@_-"/>
    <numFmt numFmtId="184" formatCode="0.00000000000"/>
    <numFmt numFmtId="185" formatCode="dd\ mmm\ yy"/>
    <numFmt numFmtId="186" formatCode="\+#,##0;\-#,##0"/>
    <numFmt numFmtId="187" formatCode="mmmm\ d\,\ yyyy"/>
    <numFmt numFmtId="188" formatCode="#,##0;[Red]\(#,##0.00\)"/>
    <numFmt numFmtId="189" formatCode="d\-mmm\-yy"/>
    <numFmt numFmtId="190" formatCode="dd\ mmmm\ yyyy"/>
    <numFmt numFmtId="191" formatCode="#,##0.00;\(#,###.00\)"/>
    <numFmt numFmtId="192" formatCode="#,##0.00;[Red]\(\,##0.00\)"/>
    <numFmt numFmtId="193" formatCode="mmm\-yyyy"/>
    <numFmt numFmtId="194" formatCode="[$€-2]\ #,##0.00_);[Red]\([$€-2]\ #,##0.00\)"/>
  </numFmts>
  <fonts count="15">
    <font>
      <sz val="10"/>
      <name val="Arial"/>
      <family val="0"/>
    </font>
    <font>
      <u val="single"/>
      <sz val="10"/>
      <color indexed="36"/>
      <name val="Times New Roman"/>
      <family val="0"/>
    </font>
    <font>
      <u val="single"/>
      <sz val="10"/>
      <color indexed="12"/>
      <name val="Times New Roman"/>
      <family val="0"/>
    </font>
    <font>
      <sz val="10"/>
      <name val="Calibri"/>
      <family val="2"/>
    </font>
    <font>
      <b/>
      <u val="single"/>
      <sz val="10"/>
      <name val="Calibri"/>
      <family val="2"/>
    </font>
    <font>
      <b/>
      <sz val="10"/>
      <name val="Calibri"/>
      <family val="2"/>
    </font>
    <font>
      <sz val="8"/>
      <name val="Calibri"/>
      <family val="2"/>
    </font>
    <font>
      <sz val="8"/>
      <name val="Arial"/>
      <family val="0"/>
    </font>
    <font>
      <sz val="8"/>
      <name val="Tahoma"/>
      <family val="0"/>
    </font>
    <font>
      <b/>
      <sz val="8"/>
      <name val="Tahoma"/>
      <family val="0"/>
    </font>
    <font>
      <b/>
      <sz val="12"/>
      <name val="Calibri"/>
      <family val="2"/>
    </font>
    <font>
      <b/>
      <u val="single"/>
      <sz val="14"/>
      <name val="Calibri"/>
      <family val="2"/>
    </font>
    <font>
      <sz val="10"/>
      <color indexed="10"/>
      <name val="Calibri"/>
      <family val="2"/>
    </font>
    <font>
      <b/>
      <sz val="10"/>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s>
  <borders count="1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4" fillId="0" borderId="0" xfId="0" applyFont="1" applyFill="1" applyBorder="1" applyAlignment="1">
      <alignment/>
    </xf>
    <xf numFmtId="1" fontId="3" fillId="0" borderId="0" xfId="0" applyNumberFormat="1" applyFont="1" applyAlignment="1">
      <alignment horizontal="right"/>
    </xf>
    <xf numFmtId="0" fontId="3" fillId="0" borderId="0" xfId="0" applyFont="1" applyAlignment="1">
      <alignment/>
    </xf>
    <xf numFmtId="4" fontId="3" fillId="0" borderId="0" xfId="0" applyNumberFormat="1" applyFont="1" applyAlignment="1">
      <alignment/>
    </xf>
    <xf numFmtId="0" fontId="3" fillId="0" borderId="0" xfId="0" applyFont="1" applyFill="1" applyBorder="1" applyAlignment="1">
      <alignment wrapText="1"/>
    </xf>
    <xf numFmtId="0" fontId="4" fillId="0" borderId="0" xfId="0" applyFont="1" applyFill="1" applyBorder="1" applyAlignment="1">
      <alignment wrapText="1"/>
    </xf>
    <xf numFmtId="190" fontId="5" fillId="0" borderId="0" xfId="0" applyNumberFormat="1" applyFont="1" applyAlignment="1" quotePrefix="1">
      <alignment horizontal="right"/>
    </xf>
    <xf numFmtId="4" fontId="5" fillId="0" borderId="3" xfId="0" applyNumberFormat="1" applyFont="1" applyBorder="1" applyAlignment="1">
      <alignment horizontal="center" vertical="center" wrapText="1"/>
    </xf>
    <xf numFmtId="0" fontId="3" fillId="0" borderId="0" xfId="0" applyFont="1" applyBorder="1" applyAlignment="1">
      <alignment/>
    </xf>
    <xf numFmtId="0" fontId="5" fillId="0" borderId="1" xfId="0" applyFont="1" applyFill="1" applyBorder="1" applyAlignment="1">
      <alignment wrapText="1"/>
    </xf>
    <xf numFmtId="1" fontId="3" fillId="0" borderId="1" xfId="0" applyNumberFormat="1" applyFont="1" applyBorder="1" applyAlignment="1">
      <alignment horizontal="right"/>
    </xf>
    <xf numFmtId="4" fontId="3" fillId="0" borderId="4" xfId="0" applyNumberFormat="1" applyFont="1" applyBorder="1" applyAlignment="1">
      <alignment/>
    </xf>
    <xf numFmtId="1" fontId="3" fillId="0" borderId="5" xfId="0" applyNumberFormat="1" applyFont="1" applyFill="1" applyBorder="1" applyAlignment="1">
      <alignment horizontal="right"/>
    </xf>
    <xf numFmtId="0" fontId="3" fillId="0" borderId="6" xfId="0" applyFont="1" applyFill="1" applyBorder="1" applyAlignment="1">
      <alignment/>
    </xf>
    <xf numFmtId="4" fontId="3" fillId="0" borderId="7" xfId="0" applyNumberFormat="1" applyFont="1" applyBorder="1" applyAlignment="1">
      <alignment/>
    </xf>
    <xf numFmtId="4" fontId="3" fillId="0" borderId="0" xfId="0" applyNumberFormat="1" applyFont="1" applyBorder="1" applyAlignment="1">
      <alignment/>
    </xf>
    <xf numFmtId="4" fontId="3" fillId="0" borderId="8" xfId="0" applyNumberFormat="1" applyFont="1" applyBorder="1" applyAlignment="1">
      <alignment/>
    </xf>
    <xf numFmtId="0" fontId="3" fillId="0" borderId="8" xfId="0" applyFont="1" applyBorder="1" applyAlignment="1">
      <alignment/>
    </xf>
    <xf numFmtId="4" fontId="5" fillId="0" borderId="9" xfId="0" applyNumberFormat="1" applyFont="1" applyBorder="1" applyAlignment="1">
      <alignment horizontal="center" vertical="center" wrapText="1"/>
    </xf>
    <xf numFmtId="4" fontId="3" fillId="0" borderId="8" xfId="0" applyNumberFormat="1" applyFont="1" applyFill="1" applyBorder="1" applyAlignment="1">
      <alignment/>
    </xf>
    <xf numFmtId="0" fontId="3" fillId="0" borderId="10" xfId="0" applyFont="1" applyBorder="1" applyAlignment="1">
      <alignment/>
    </xf>
    <xf numFmtId="190" fontId="5" fillId="0" borderId="0" xfId="0" applyNumberFormat="1" applyFont="1" applyAlignment="1">
      <alignment/>
    </xf>
    <xf numFmtId="3" fontId="5" fillId="0" borderId="11" xfId="0" applyNumberFormat="1" applyFont="1" applyBorder="1" applyAlignment="1">
      <alignment horizontal="center" vertical="center" wrapText="1"/>
    </xf>
    <xf numFmtId="0" fontId="3" fillId="0" borderId="4" xfId="0" applyFont="1" applyBorder="1" applyAlignment="1">
      <alignment/>
    </xf>
    <xf numFmtId="4" fontId="5" fillId="0" borderId="11" xfId="0" applyNumberFormat="1" applyFont="1" applyBorder="1" applyAlignment="1">
      <alignment horizontal="center" vertical="center" wrapText="1"/>
    </xf>
    <xf numFmtId="4" fontId="5" fillId="0" borderId="8" xfId="0" applyNumberFormat="1" applyFont="1" applyBorder="1" applyAlignment="1">
      <alignment horizontal="center" vertical="center" wrapText="1"/>
    </xf>
    <xf numFmtId="4" fontId="3" fillId="0" borderId="12" xfId="0" applyNumberFormat="1" applyFont="1" applyBorder="1" applyAlignment="1">
      <alignment/>
    </xf>
    <xf numFmtId="40" fontId="3" fillId="0" borderId="0" xfId="0" applyNumberFormat="1" applyFont="1" applyBorder="1" applyAlignment="1">
      <alignment wrapText="1"/>
    </xf>
    <xf numFmtId="0" fontId="5" fillId="0" borderId="1" xfId="0" applyFont="1" applyFill="1" applyBorder="1" applyAlignment="1">
      <alignment vertical="top" wrapText="1"/>
    </xf>
    <xf numFmtId="1" fontId="3" fillId="0" borderId="1" xfId="0" applyNumberFormat="1" applyFont="1" applyBorder="1" applyAlignment="1">
      <alignment horizontal="right" vertical="top"/>
    </xf>
    <xf numFmtId="0" fontId="3" fillId="0" borderId="2" xfId="0" applyFont="1" applyBorder="1" applyAlignment="1">
      <alignment vertical="top"/>
    </xf>
    <xf numFmtId="0" fontId="3" fillId="0" borderId="4" xfId="0" applyFont="1" applyBorder="1" applyAlignment="1">
      <alignment vertical="top"/>
    </xf>
    <xf numFmtId="4" fontId="3" fillId="0" borderId="0" xfId="0" applyNumberFormat="1" applyFont="1" applyBorder="1" applyAlignment="1">
      <alignment vertical="top"/>
    </xf>
    <xf numFmtId="40" fontId="3" fillId="0" borderId="4" xfId="0" applyNumberFormat="1" applyFont="1" applyBorder="1" applyAlignment="1">
      <alignment vertical="top"/>
    </xf>
    <xf numFmtId="0" fontId="3" fillId="0" borderId="1" xfId="0" applyFont="1" applyFill="1" applyBorder="1" applyAlignment="1">
      <alignment vertical="top" wrapText="1"/>
    </xf>
    <xf numFmtId="4" fontId="3" fillId="0" borderId="4" xfId="0" applyNumberFormat="1" applyFont="1" applyBorder="1" applyAlignment="1">
      <alignment vertical="top"/>
    </xf>
    <xf numFmtId="0" fontId="6" fillId="0" borderId="1" xfId="0" applyFont="1" applyFill="1" applyBorder="1" applyAlignment="1">
      <alignment horizontal="right" vertical="top" wrapText="1"/>
    </xf>
    <xf numFmtId="0" fontId="6" fillId="0" borderId="1" xfId="0" applyFont="1" applyFill="1" applyBorder="1" applyAlignment="1">
      <alignment vertical="top" wrapText="1"/>
    </xf>
    <xf numFmtId="0" fontId="3" fillId="0" borderId="2" xfId="0" applyFont="1" applyFill="1" applyBorder="1" applyAlignment="1">
      <alignment vertical="top"/>
    </xf>
    <xf numFmtId="4" fontId="3" fillId="0" borderId="4" xfId="0" applyNumberFormat="1" applyFont="1" applyFill="1" applyBorder="1" applyAlignment="1">
      <alignment vertical="top"/>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right" vertical="top"/>
    </xf>
    <xf numFmtId="0" fontId="5" fillId="0" borderId="5" xfId="0" applyFont="1" applyFill="1" applyBorder="1" applyAlignment="1">
      <alignment vertical="top" wrapText="1"/>
    </xf>
    <xf numFmtId="1" fontId="3" fillId="0" borderId="5" xfId="0" applyNumberFormat="1" applyFont="1" applyFill="1" applyBorder="1" applyAlignment="1">
      <alignment horizontal="right" vertical="top"/>
    </xf>
    <xf numFmtId="0" fontId="3" fillId="0" borderId="6" xfId="0" applyFont="1" applyFill="1" applyBorder="1" applyAlignment="1">
      <alignment vertical="top"/>
    </xf>
    <xf numFmtId="4" fontId="3" fillId="0" borderId="7" xfId="0" applyNumberFormat="1" applyFont="1" applyFill="1" applyBorder="1" applyAlignment="1">
      <alignment vertical="top"/>
    </xf>
    <xf numFmtId="4" fontId="3" fillId="0" borderId="8" xfId="0" applyNumberFormat="1" applyFont="1" applyFill="1" applyBorder="1" applyAlignment="1">
      <alignment vertical="top"/>
    </xf>
    <xf numFmtId="4" fontId="3" fillId="0" borderId="7" xfId="0" applyNumberFormat="1" applyFont="1" applyBorder="1" applyAlignment="1">
      <alignment vertical="top"/>
    </xf>
    <xf numFmtId="0" fontId="3" fillId="0" borderId="1" xfId="0" applyFont="1" applyFill="1" applyBorder="1" applyAlignment="1">
      <alignment horizontal="left" vertical="top" wrapText="1" indent="2"/>
    </xf>
    <xf numFmtId="40" fontId="5" fillId="0" borderId="4" xfId="0" applyNumberFormat="1" applyFont="1" applyBorder="1" applyAlignment="1">
      <alignment vertical="top"/>
    </xf>
    <xf numFmtId="40" fontId="3" fillId="0" borderId="4" xfId="0" applyNumberFormat="1" applyFont="1" applyBorder="1" applyAlignment="1">
      <alignment wrapText="1"/>
    </xf>
    <xf numFmtId="0" fontId="2" fillId="0" borderId="0" xfId="20" applyAlignment="1">
      <alignment/>
    </xf>
    <xf numFmtId="165" fontId="3" fillId="0" borderId="3" xfId="0" applyNumberFormat="1" applyFont="1" applyBorder="1" applyAlignment="1">
      <alignment vertical="center"/>
    </xf>
    <xf numFmtId="165" fontId="3" fillId="0" borderId="9" xfId="0" applyNumberFormat="1" applyFont="1" applyBorder="1" applyAlignment="1">
      <alignment vertical="center"/>
    </xf>
    <xf numFmtId="4" fontId="3" fillId="0" borderId="9" xfId="0" applyNumberFormat="1" applyFont="1" applyBorder="1" applyAlignment="1">
      <alignment vertical="center"/>
    </xf>
    <xf numFmtId="170" fontId="3" fillId="0" borderId="13" xfId="0" applyNumberFormat="1" applyFont="1" applyBorder="1" applyAlignment="1">
      <alignment vertical="center"/>
    </xf>
    <xf numFmtId="165" fontId="3" fillId="0" borderId="1" xfId="0" applyNumberFormat="1" applyFont="1" applyBorder="1" applyAlignment="1">
      <alignment vertical="center"/>
    </xf>
    <xf numFmtId="165" fontId="3" fillId="0" borderId="0" xfId="0" applyNumberFormat="1" applyFont="1" applyBorder="1" applyAlignment="1">
      <alignment vertical="center"/>
    </xf>
    <xf numFmtId="4" fontId="3" fillId="0" borderId="1" xfId="0" applyNumberFormat="1" applyFont="1" applyBorder="1" applyAlignment="1">
      <alignment vertical="center"/>
    </xf>
    <xf numFmtId="170" fontId="3" fillId="0" borderId="4" xfId="0" applyNumberFormat="1" applyFont="1" applyBorder="1" applyAlignment="1">
      <alignment vertical="center"/>
    </xf>
    <xf numFmtId="4" fontId="3" fillId="0" borderId="4" xfId="0" applyNumberFormat="1" applyFont="1" applyBorder="1" applyAlignment="1">
      <alignment vertical="center"/>
    </xf>
    <xf numFmtId="170" fontId="5" fillId="0" borderId="4" xfId="0" applyNumberFormat="1" applyFont="1" applyBorder="1" applyAlignment="1">
      <alignment vertical="center"/>
    </xf>
    <xf numFmtId="171" fontId="3" fillId="0" borderId="0" xfId="0" applyNumberFormat="1" applyFont="1" applyBorder="1" applyAlignment="1">
      <alignment vertical="center"/>
    </xf>
    <xf numFmtId="165" fontId="3" fillId="0" borderId="0" xfId="0" applyNumberFormat="1" applyFont="1" applyAlignment="1">
      <alignment/>
    </xf>
    <xf numFmtId="170" fontId="3" fillId="0" borderId="0" xfId="0" applyNumberFormat="1" applyFont="1" applyAlignment="1">
      <alignment/>
    </xf>
    <xf numFmtId="0" fontId="2" fillId="0" borderId="0" xfId="20" applyAlignment="1">
      <alignment wrapText="1"/>
    </xf>
    <xf numFmtId="40" fontId="3" fillId="0" borderId="0" xfId="0" applyNumberFormat="1" applyFont="1" applyBorder="1" applyAlignment="1">
      <alignment vertical="top" wrapText="1"/>
    </xf>
    <xf numFmtId="4" fontId="3" fillId="0" borderId="0" xfId="0" applyNumberFormat="1" applyFont="1" applyAlignment="1" quotePrefix="1">
      <alignment/>
    </xf>
    <xf numFmtId="1" fontId="3" fillId="2" borderId="1" xfId="0" applyNumberFormat="1" applyFont="1" applyFill="1" applyBorder="1" applyAlignment="1">
      <alignment horizontal="right" vertical="top"/>
    </xf>
    <xf numFmtId="0" fontId="3" fillId="2" borderId="2" xfId="0" applyFont="1" applyFill="1" applyBorder="1" applyAlignment="1">
      <alignment vertical="top"/>
    </xf>
    <xf numFmtId="4" fontId="3" fillId="2" borderId="0" xfId="0" applyNumberFormat="1" applyFont="1" applyFill="1" applyBorder="1" applyAlignment="1">
      <alignment vertical="top"/>
    </xf>
    <xf numFmtId="40" fontId="3" fillId="2" borderId="4" xfId="0" applyNumberFormat="1" applyFont="1" applyFill="1" applyBorder="1" applyAlignment="1">
      <alignment vertical="top"/>
    </xf>
    <xf numFmtId="40" fontId="3" fillId="2" borderId="4" xfId="0" applyNumberFormat="1" applyFont="1" applyFill="1" applyBorder="1" applyAlignment="1">
      <alignment wrapText="1"/>
    </xf>
    <xf numFmtId="0" fontId="5" fillId="0" borderId="1" xfId="0" applyFont="1" applyFill="1" applyBorder="1" applyAlignment="1">
      <alignment horizontal="left" vertical="top" wrapText="1"/>
    </xf>
    <xf numFmtId="0" fontId="10" fillId="3" borderId="1" xfId="0" applyFont="1" applyFill="1" applyBorder="1" applyAlignment="1">
      <alignment vertical="top" wrapText="1"/>
    </xf>
    <xf numFmtId="1" fontId="3" fillId="3" borderId="1" xfId="0" applyNumberFormat="1" applyFont="1" applyFill="1" applyBorder="1" applyAlignment="1">
      <alignment horizontal="right" vertical="top"/>
    </xf>
    <xf numFmtId="0" fontId="3" fillId="3" borderId="2" xfId="0" applyFont="1" applyFill="1" applyBorder="1" applyAlignment="1">
      <alignment vertical="top"/>
    </xf>
    <xf numFmtId="4" fontId="3" fillId="3" borderId="4" xfId="0" applyNumberFormat="1" applyFont="1" applyFill="1" applyBorder="1" applyAlignment="1">
      <alignment vertical="top"/>
    </xf>
    <xf numFmtId="4" fontId="3" fillId="3" borderId="0" xfId="0" applyNumberFormat="1" applyFont="1" applyFill="1" applyBorder="1" applyAlignment="1">
      <alignment vertical="top"/>
    </xf>
    <xf numFmtId="40" fontId="3" fillId="3" borderId="4" xfId="0" applyNumberFormat="1" applyFont="1" applyFill="1" applyBorder="1" applyAlignment="1">
      <alignment vertical="top"/>
    </xf>
    <xf numFmtId="40" fontId="3" fillId="3" borderId="0" xfId="0" applyNumberFormat="1" applyFont="1" applyFill="1" applyBorder="1" applyAlignment="1">
      <alignment wrapText="1"/>
    </xf>
    <xf numFmtId="40" fontId="3" fillId="3" borderId="4" xfId="0" applyNumberFormat="1" applyFont="1" applyFill="1" applyBorder="1" applyAlignment="1">
      <alignment wrapText="1"/>
    </xf>
    <xf numFmtId="4" fontId="3" fillId="0" borderId="4" xfId="0" applyNumberFormat="1" applyFont="1" applyFill="1" applyBorder="1" applyAlignment="1">
      <alignment vertical="center"/>
    </xf>
    <xf numFmtId="170" fontId="3" fillId="0" borderId="4" xfId="0" applyNumberFormat="1" applyFont="1" applyFill="1" applyBorder="1" applyAlignment="1">
      <alignment vertical="center"/>
    </xf>
    <xf numFmtId="3" fontId="5" fillId="0" borderId="3" xfId="0" applyNumberFormat="1" applyFont="1" applyFill="1" applyBorder="1" applyAlignment="1">
      <alignment horizontal="left" vertical="center" wrapText="1"/>
    </xf>
    <xf numFmtId="0" fontId="3" fillId="3" borderId="0" xfId="0" applyFont="1" applyFill="1" applyAlignment="1">
      <alignment/>
    </xf>
    <xf numFmtId="2" fontId="3" fillId="0" borderId="1" xfId="0" applyNumberFormat="1" applyFont="1" applyBorder="1" applyAlignment="1">
      <alignment horizontal="right" vertical="top"/>
    </xf>
    <xf numFmtId="4" fontId="3" fillId="0" borderId="0" xfId="0" applyNumberFormat="1" applyFont="1" applyAlignment="1">
      <alignment wrapText="1"/>
    </xf>
    <xf numFmtId="190" fontId="5" fillId="0" borderId="0" xfId="0" applyNumberFormat="1" applyFont="1" applyAlignment="1">
      <alignment wrapText="1"/>
    </xf>
    <xf numFmtId="190" fontId="5" fillId="0" borderId="0" xfId="0" applyNumberFormat="1" applyFont="1" applyAlignment="1" quotePrefix="1">
      <alignment horizontal="right" wrapText="1"/>
    </xf>
    <xf numFmtId="4" fontId="3" fillId="0" borderId="0" xfId="0" applyNumberFormat="1" applyFont="1" applyBorder="1" applyAlignment="1">
      <alignment wrapText="1"/>
    </xf>
    <xf numFmtId="4" fontId="3" fillId="0" borderId="7" xfId="0" applyNumberFormat="1" applyFont="1" applyBorder="1" applyAlignment="1">
      <alignment wrapText="1"/>
    </xf>
    <xf numFmtId="0" fontId="2" fillId="0" borderId="4" xfId="20" applyBorder="1" applyAlignment="1">
      <alignment wrapText="1"/>
    </xf>
    <xf numFmtId="40" fontId="3" fillId="0" borderId="4" xfId="0" applyNumberFormat="1" applyFont="1" applyBorder="1" applyAlignment="1">
      <alignment vertical="top" wrapText="1"/>
    </xf>
    <xf numFmtId="0" fontId="3" fillId="0" borderId="1" xfId="0" applyFont="1" applyFill="1" applyBorder="1" applyAlignment="1">
      <alignment horizontal="left" vertical="top" wrapText="1" indent="4"/>
    </xf>
    <xf numFmtId="0" fontId="0" fillId="0" borderId="0" xfId="0" applyAlignment="1">
      <alignment wrapText="1"/>
    </xf>
    <xf numFmtId="0" fontId="0" fillId="0" borderId="0" xfId="0" applyAlignment="1">
      <alignment horizontal="left" wrapText="1"/>
    </xf>
    <xf numFmtId="0" fontId="0" fillId="0" borderId="0" xfId="0" applyAlignment="1">
      <alignment vertical="top"/>
    </xf>
    <xf numFmtId="9" fontId="3" fillId="0" borderId="0" xfId="21" applyFont="1" applyAlignment="1">
      <alignment/>
    </xf>
    <xf numFmtId="0" fontId="5" fillId="4" borderId="1" xfId="0" applyFont="1" applyFill="1" applyBorder="1" applyAlignment="1">
      <alignment horizontal="left" vertical="top" wrapText="1"/>
    </xf>
    <xf numFmtId="0" fontId="5" fillId="0" borderId="3" xfId="0" applyFont="1" applyBorder="1" applyAlignment="1">
      <alignment vertical="center"/>
    </xf>
    <xf numFmtId="0" fontId="5" fillId="0" borderId="9" xfId="0" applyFont="1" applyBorder="1" applyAlignment="1">
      <alignment horizontal="center" vertical="center" wrapText="1"/>
    </xf>
    <xf numFmtId="4" fontId="5" fillId="0" borderId="13" xfId="0" applyNumberFormat="1" applyFont="1" applyBorder="1" applyAlignment="1">
      <alignment horizontal="center" vertical="center" wrapText="1"/>
    </xf>
    <xf numFmtId="0" fontId="3" fillId="0" borderId="14" xfId="0" applyFont="1" applyBorder="1" applyAlignment="1">
      <alignment/>
    </xf>
    <xf numFmtId="0" fontId="3" fillId="0" borderId="15" xfId="0" applyFont="1" applyBorder="1" applyAlignment="1">
      <alignment/>
    </xf>
    <xf numFmtId="4" fontId="3" fillId="0" borderId="15" xfId="0" applyNumberFormat="1" applyFont="1" applyBorder="1" applyAlignment="1">
      <alignment/>
    </xf>
    <xf numFmtId="0" fontId="3" fillId="0" borderId="1" xfId="0" applyFont="1" applyBorder="1" applyAlignment="1">
      <alignment/>
    </xf>
    <xf numFmtId="0" fontId="3" fillId="0" borderId="2" xfId="0" applyFont="1" applyBorder="1" applyAlignment="1">
      <alignment/>
    </xf>
    <xf numFmtId="4" fontId="5" fillId="0" borderId="0" xfId="0" applyNumberFormat="1" applyFont="1" applyBorder="1" applyAlignment="1">
      <alignment/>
    </xf>
    <xf numFmtId="0" fontId="5" fillId="0" borderId="1" xfId="0" applyFont="1" applyBorder="1" applyAlignment="1">
      <alignment/>
    </xf>
    <xf numFmtId="40" fontId="3" fillId="0" borderId="0" xfId="0" applyNumberFormat="1" applyFont="1" applyBorder="1" applyAlignment="1">
      <alignment/>
    </xf>
    <xf numFmtId="4" fontId="5" fillId="0" borderId="0" xfId="0" applyNumberFormat="1" applyFont="1" applyBorder="1" applyAlignment="1">
      <alignment vertical="top"/>
    </xf>
    <xf numFmtId="0" fontId="3" fillId="0" borderId="2" xfId="0" applyFont="1" applyBorder="1" applyAlignment="1">
      <alignment wrapText="1"/>
    </xf>
    <xf numFmtId="0" fontId="3" fillId="3" borderId="1" xfId="0" applyFont="1" applyFill="1" applyBorder="1" applyAlignment="1">
      <alignment/>
    </xf>
    <xf numFmtId="0" fontId="3" fillId="3" borderId="0" xfId="0" applyFont="1" applyFill="1" applyBorder="1" applyAlignment="1">
      <alignment/>
    </xf>
    <xf numFmtId="4" fontId="3" fillId="3" borderId="0" xfId="0" applyNumberFormat="1" applyFont="1" applyFill="1" applyBorder="1" applyAlignment="1">
      <alignment/>
    </xf>
    <xf numFmtId="0" fontId="3" fillId="3" borderId="2" xfId="0" applyFont="1" applyFill="1" applyBorder="1" applyAlignment="1">
      <alignment/>
    </xf>
    <xf numFmtId="0" fontId="3" fillId="0" borderId="1" xfId="0" applyFont="1" applyBorder="1" applyAlignment="1">
      <alignment wrapText="1"/>
    </xf>
    <xf numFmtId="4" fontId="3" fillId="0" borderId="2" xfId="0" applyNumberFormat="1" applyFont="1" applyBorder="1" applyAlignment="1">
      <alignment/>
    </xf>
    <xf numFmtId="0" fontId="3" fillId="0" borderId="5" xfId="0" applyFont="1" applyBorder="1" applyAlignment="1">
      <alignment/>
    </xf>
    <xf numFmtId="0" fontId="3" fillId="0" borderId="6" xfId="0" applyFont="1" applyBorder="1" applyAlignment="1">
      <alignment/>
    </xf>
    <xf numFmtId="0" fontId="11" fillId="0" borderId="0" xfId="0" applyFont="1" applyFill="1" applyBorder="1" applyAlignment="1">
      <alignment wrapText="1"/>
    </xf>
    <xf numFmtId="40" fontId="12" fillId="0" borderId="0" xfId="0" applyNumberFormat="1" applyFont="1" applyBorder="1" applyAlignment="1">
      <alignment wrapText="1"/>
    </xf>
    <xf numFmtId="40" fontId="12" fillId="0" borderId="4" xfId="0" applyNumberFormat="1" applyFont="1" applyBorder="1" applyAlignment="1">
      <alignment wrapText="1"/>
    </xf>
    <xf numFmtId="0" fontId="13" fillId="0" borderId="0" xfId="0" applyFont="1" applyAlignment="1">
      <alignment/>
    </xf>
    <xf numFmtId="4" fontId="3" fillId="0" borderId="16" xfId="0" applyNumberFormat="1" applyFont="1" applyBorder="1" applyAlignment="1">
      <alignment/>
    </xf>
    <xf numFmtId="4" fontId="5" fillId="0" borderId="16" xfId="0" applyNumberFormat="1" applyFont="1" applyBorder="1" applyAlignment="1">
      <alignment horizontal="center" vertical="center"/>
    </xf>
    <xf numFmtId="9" fontId="5" fillId="0" borderId="16" xfId="21" applyFont="1" applyBorder="1" applyAlignment="1">
      <alignment horizontal="center" vertical="center"/>
    </xf>
    <xf numFmtId="4" fontId="5" fillId="0" borderId="16" xfId="0" applyNumberFormat="1" applyFont="1" applyBorder="1" applyAlignment="1">
      <alignment vertical="center"/>
    </xf>
    <xf numFmtId="4" fontId="3" fillId="0" borderId="16" xfId="0" applyNumberFormat="1" applyFont="1" applyBorder="1" applyAlignment="1">
      <alignment vertical="center"/>
    </xf>
    <xf numFmtId="0" fontId="11" fillId="0" borderId="0" xfId="0" applyFont="1" applyFill="1" applyBorder="1" applyAlignment="1">
      <alignment/>
    </xf>
    <xf numFmtId="4" fontId="3" fillId="0" borderId="7" xfId="0" applyNumberFormat="1" applyFont="1" applyBorder="1" applyAlignment="1">
      <alignment vertical="center"/>
    </xf>
    <xf numFmtId="4" fontId="3" fillId="5" borderId="0" xfId="0" applyNumberFormat="1" applyFont="1" applyFill="1" applyBorder="1" applyAlignment="1">
      <alignment vertical="top"/>
    </xf>
    <xf numFmtId="176" fontId="3" fillId="0" borderId="0" xfId="0" applyNumberFormat="1" applyFont="1" applyBorder="1" applyAlignment="1">
      <alignment vertical="center"/>
    </xf>
    <xf numFmtId="2" fontId="3" fillId="0" borderId="4" xfId="0" applyNumberFormat="1" applyFont="1" applyBorder="1" applyAlignment="1">
      <alignment horizontal="right" vertical="top"/>
    </xf>
    <xf numFmtId="0" fontId="5" fillId="2" borderId="1" xfId="0" applyFont="1" applyFill="1" applyBorder="1" applyAlignment="1">
      <alignment horizontal="left" vertical="top" wrapText="1"/>
    </xf>
    <xf numFmtId="4" fontId="3" fillId="2" borderId="4" xfId="0" applyNumberFormat="1" applyFont="1" applyFill="1" applyBorder="1" applyAlignment="1">
      <alignment vertical="top"/>
    </xf>
    <xf numFmtId="40" fontId="3" fillId="2" borderId="0" xfId="0" applyNumberFormat="1" applyFont="1" applyFill="1" applyBorder="1" applyAlignment="1">
      <alignment wrapText="1"/>
    </xf>
    <xf numFmtId="0" fontId="5" fillId="2" borderId="1" xfId="0" applyFont="1" applyFill="1" applyBorder="1" applyAlignment="1">
      <alignment vertical="top" wrapText="1"/>
    </xf>
    <xf numFmtId="165" fontId="3" fillId="0" borderId="1" xfId="0" applyNumberFormat="1" applyFont="1" applyFill="1" applyBorder="1" applyAlignment="1">
      <alignment vertical="center"/>
    </xf>
    <xf numFmtId="165" fontId="3" fillId="0" borderId="0" xfId="0" applyNumberFormat="1" applyFont="1" applyFill="1" applyBorder="1" applyAlignment="1">
      <alignment vertical="center"/>
    </xf>
    <xf numFmtId="4" fontId="3" fillId="0" borderId="1" xfId="0" applyNumberFormat="1" applyFont="1" applyFill="1" applyBorder="1" applyAlignment="1">
      <alignment vertical="center"/>
    </xf>
    <xf numFmtId="170" fontId="5" fillId="0" borderId="4" xfId="0" applyNumberFormat="1" applyFont="1" applyFill="1" applyBorder="1" applyAlignment="1">
      <alignment vertical="center"/>
    </xf>
    <xf numFmtId="4" fontId="3" fillId="0" borderId="0" xfId="0" applyNumberFormat="1" applyFont="1" applyFill="1" applyBorder="1" applyAlignment="1">
      <alignment vertical="top"/>
    </xf>
    <xf numFmtId="40" fontId="3" fillId="0" borderId="4" xfId="0" applyNumberFormat="1" applyFont="1" applyFill="1" applyBorder="1" applyAlignment="1">
      <alignment vertical="top"/>
    </xf>
    <xf numFmtId="40" fontId="3" fillId="0" borderId="0" xfId="0" applyNumberFormat="1" applyFont="1" applyFill="1" applyBorder="1" applyAlignment="1">
      <alignment wrapText="1"/>
    </xf>
    <xf numFmtId="40" fontId="3" fillId="0" borderId="4" xfId="0" applyNumberFormat="1" applyFont="1" applyFill="1" applyBorder="1" applyAlignment="1">
      <alignment wrapText="1"/>
    </xf>
    <xf numFmtId="0" fontId="3" fillId="0" borderId="0" xfId="0" applyFont="1" applyFill="1" applyAlignment="1">
      <alignment/>
    </xf>
    <xf numFmtId="0" fontId="3" fillId="0" borderId="1" xfId="0" applyFont="1" applyFill="1" applyBorder="1" applyAlignment="1">
      <alignment/>
    </xf>
    <xf numFmtId="0" fontId="3" fillId="0" borderId="0" xfId="0" applyFont="1" applyFill="1" applyBorder="1" applyAlignment="1">
      <alignment/>
    </xf>
    <xf numFmtId="4" fontId="3" fillId="0" borderId="0" xfId="0" applyNumberFormat="1" applyFont="1" applyFill="1" applyBorder="1" applyAlignment="1">
      <alignment/>
    </xf>
    <xf numFmtId="0" fontId="3" fillId="0" borderId="2" xfId="0" applyFont="1" applyFill="1" applyBorder="1" applyAlignment="1">
      <alignment wrapText="1"/>
    </xf>
    <xf numFmtId="4" fontId="3" fillId="0" borderId="11" xfId="0" applyNumberFormat="1" applyFont="1" applyBorder="1" applyAlignment="1">
      <alignment vertical="center"/>
    </xf>
    <xf numFmtId="9" fontId="5" fillId="0" borderId="16" xfId="21" applyFont="1" applyBorder="1" applyAlignment="1">
      <alignment horizontal="center" vertical="center" wrapText="1"/>
    </xf>
    <xf numFmtId="3" fontId="3" fillId="0" borderId="4" xfId="0" applyNumberFormat="1" applyFont="1" applyBorder="1" applyAlignment="1">
      <alignment vertical="center"/>
    </xf>
    <xf numFmtId="3" fontId="3" fillId="0" borderId="7" xfId="0" applyNumberFormat="1" applyFont="1" applyBorder="1" applyAlignment="1">
      <alignment vertical="center"/>
    </xf>
    <xf numFmtId="3" fontId="3" fillId="0" borderId="11" xfId="0" applyNumberFormat="1" applyFont="1" applyBorder="1" applyAlignment="1">
      <alignment vertical="center"/>
    </xf>
    <xf numFmtId="169" fontId="3" fillId="0" borderId="4" xfId="0" applyNumberFormat="1" applyFont="1" applyBorder="1" applyAlignment="1">
      <alignment vertical="center"/>
    </xf>
    <xf numFmtId="169" fontId="5" fillId="0" borderId="4" xfId="0" applyNumberFormat="1" applyFont="1" applyBorder="1" applyAlignment="1">
      <alignment vertical="center"/>
    </xf>
    <xf numFmtId="40" fontId="3" fillId="5" borderId="0" xfId="0" applyNumberFormat="1" applyFont="1" applyFill="1" applyBorder="1" applyAlignment="1">
      <alignment wrapText="1"/>
    </xf>
    <xf numFmtId="4" fontId="3" fillId="0" borderId="1" xfId="0" applyNumberFormat="1" applyFont="1" applyBorder="1" applyAlignment="1">
      <alignment vertical="top"/>
    </xf>
    <xf numFmtId="40" fontId="5" fillId="2" borderId="4" xfId="0" applyNumberFormat="1" applyFont="1" applyFill="1" applyBorder="1" applyAlignment="1">
      <alignment vertical="top"/>
    </xf>
    <xf numFmtId="4" fontId="5" fillId="0" borderId="0" xfId="0" applyNumberFormat="1" applyFont="1" applyFill="1" applyBorder="1" applyAlignment="1">
      <alignment/>
    </xf>
    <xf numFmtId="0" fontId="3" fillId="0" borderId="2" xfId="0" applyFont="1" applyFill="1" applyBorder="1" applyAlignment="1">
      <alignment/>
    </xf>
    <xf numFmtId="4" fontId="3" fillId="0" borderId="7" xfId="0" applyNumberFormat="1" applyFont="1" applyFill="1" applyBorder="1" applyAlignment="1">
      <alignment vertical="center"/>
    </xf>
    <xf numFmtId="40" fontId="5" fillId="0" borderId="4" xfId="0" applyNumberFormat="1" applyFont="1" applyFill="1" applyBorder="1" applyAlignment="1">
      <alignment vertical="top"/>
    </xf>
    <xf numFmtId="0" fontId="0" fillId="0" borderId="0" xfId="0" applyAlignment="1">
      <alignment horizontal="left" wrapText="1"/>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1" fontId="5" fillId="0" borderId="3" xfId="0" applyNumberFormat="1" applyFont="1" applyBorder="1" applyAlignment="1">
      <alignment horizontal="center" vertical="center"/>
    </xf>
    <xf numFmtId="1" fontId="5" fillId="0" borderId="9" xfId="0" applyNumberFormat="1" applyFont="1" applyBorder="1" applyAlignment="1">
      <alignment horizontal="center" vertical="center"/>
    </xf>
    <xf numFmtId="1" fontId="5" fillId="0" borderId="13" xfId="0" applyNumberFormat="1" applyFont="1" applyBorder="1" applyAlignment="1">
      <alignment horizontal="center" vertical="center"/>
    </xf>
    <xf numFmtId="4" fontId="5" fillId="6" borderId="3" xfId="0" applyNumberFormat="1" applyFont="1" applyFill="1" applyBorder="1" applyAlignment="1">
      <alignment horizontal="center" vertical="center"/>
    </xf>
    <xf numFmtId="4" fontId="5" fillId="6" borderId="9" xfId="0" applyNumberFormat="1" applyFont="1" applyFill="1" applyBorder="1" applyAlignment="1">
      <alignment horizontal="center" vertical="center"/>
    </xf>
    <xf numFmtId="4" fontId="5" fillId="6" borderId="13" xfId="0" applyNumberFormat="1" applyFont="1" applyFill="1" applyBorder="1" applyAlignment="1">
      <alignment horizontal="center" vertical="center"/>
    </xf>
    <xf numFmtId="3" fontId="5" fillId="0" borderId="3"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1" fontId="5" fillId="7" borderId="3" xfId="0" applyNumberFormat="1" applyFont="1" applyFill="1" applyBorder="1" applyAlignment="1">
      <alignment horizontal="center" vertical="center"/>
    </xf>
    <xf numFmtId="1" fontId="5" fillId="7" borderId="9" xfId="0" applyNumberFormat="1" applyFont="1" applyFill="1" applyBorder="1" applyAlignment="1">
      <alignment horizontal="center" vertical="center"/>
    </xf>
    <xf numFmtId="1" fontId="5" fillId="7" borderId="13" xfId="0" applyNumberFormat="1" applyFont="1" applyFill="1" applyBorder="1" applyAlignment="1">
      <alignment horizontal="center" vertical="center"/>
    </xf>
    <xf numFmtId="3" fontId="5" fillId="0" borderId="5"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0" fontId="5" fillId="7" borderId="3"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center" vertical="center"/>
    </xf>
    <xf numFmtId="0" fontId="3" fillId="2" borderId="1" xfId="0" applyFont="1" applyFill="1" applyBorder="1" applyAlignment="1">
      <alignment vertical="top" wrapText="1"/>
    </xf>
    <xf numFmtId="165" fontId="3" fillId="0" borderId="1" xfId="0" applyNumberFormat="1" applyFont="1" applyBorder="1" applyAlignment="1">
      <alignment/>
    </xf>
    <xf numFmtId="165" fontId="3" fillId="0" borderId="0" xfId="0" applyNumberFormat="1" applyFont="1" applyBorder="1" applyAlignment="1">
      <alignment/>
    </xf>
    <xf numFmtId="4" fontId="3" fillId="0" borderId="7" xfId="0" applyNumberFormat="1" applyFont="1" applyBorder="1" applyAlignment="1">
      <alignment/>
    </xf>
    <xf numFmtId="170" fontId="5" fillId="0" borderId="4" xfId="0" applyNumberFormat="1" applyFont="1" applyBorder="1" applyAlignment="1">
      <alignment/>
    </xf>
    <xf numFmtId="0" fontId="3" fillId="0" borderId="1" xfId="0" applyFont="1" applyFill="1" applyBorder="1" applyAlignment="1">
      <alignment wrapText="1"/>
    </xf>
    <xf numFmtId="0" fontId="3" fillId="0" borderId="2" xfId="0" applyFont="1" applyFill="1" applyBorder="1" applyAlignment="1">
      <alignment/>
    </xf>
    <xf numFmtId="4" fontId="3" fillId="0" borderId="4" xfId="0" applyNumberFormat="1" applyFont="1" applyFill="1" applyBorder="1" applyAlignment="1">
      <alignment/>
    </xf>
    <xf numFmtId="4" fontId="3" fillId="0" borderId="0" xfId="0" applyNumberFormat="1" applyFont="1" applyBorder="1" applyAlignment="1">
      <alignment/>
    </xf>
    <xf numFmtId="40" fontId="3" fillId="0" borderId="4" xfId="0" applyNumberFormat="1" applyFont="1" applyBorder="1" applyAlignment="1">
      <alignment/>
    </xf>
    <xf numFmtId="0" fontId="3" fillId="0" borderId="0" xfId="0" applyFont="1" applyAlignment="1">
      <alignment/>
    </xf>
    <xf numFmtId="1" fontId="3" fillId="2" borderId="1" xfId="0" applyNumberFormat="1" applyFont="1" applyFill="1" applyBorder="1" applyAlignment="1">
      <alignment horizontal="right"/>
    </xf>
    <xf numFmtId="0" fontId="3" fillId="2" borderId="2" xfId="0" applyFont="1" applyFill="1" applyBorder="1" applyAlignment="1">
      <alignment/>
    </xf>
    <xf numFmtId="4" fontId="3" fillId="2" borderId="0" xfId="0" applyNumberFormat="1" applyFont="1" applyFill="1" applyBorder="1" applyAlignment="1">
      <alignment/>
    </xf>
    <xf numFmtId="40" fontId="3" fillId="2" borderId="4" xfId="0" applyNumberFormat="1" applyFont="1" applyFill="1" applyBorder="1" applyAlignment="1">
      <alignment/>
    </xf>
    <xf numFmtId="40" fontId="3" fillId="0" borderId="0" xfId="0" applyNumberFormat="1" applyFont="1" applyBorder="1" applyAlignment="1">
      <alignment/>
    </xf>
    <xf numFmtId="0" fontId="3" fillId="0" borderId="0" xfId="0" applyFont="1" applyBorder="1" applyAlignment="1">
      <alignment/>
    </xf>
    <xf numFmtId="0" fontId="3" fillId="0" borderId="2" xfId="0" applyFont="1" applyBorder="1" applyAlignment="1">
      <alignment/>
    </xf>
    <xf numFmtId="0" fontId="2" fillId="0" borderId="0" xfId="20" applyFont="1" applyAlignment="1">
      <alignment/>
    </xf>
    <xf numFmtId="4" fontId="3" fillId="0" borderId="4" xfId="0" applyNumberFormat="1" applyFont="1" applyBorder="1" applyAlignment="1">
      <alignment/>
    </xf>
    <xf numFmtId="0" fontId="3" fillId="0" borderId="1" xfId="0" applyFont="1" applyFill="1" applyBorder="1" applyAlignment="1">
      <alignment horizontal="left" wrapText="1"/>
    </xf>
    <xf numFmtId="0" fontId="3" fillId="0" borderId="1" xfId="0" applyFont="1" applyBorder="1" applyAlignment="1">
      <alignment/>
    </xf>
    <xf numFmtId="171" fontId="3" fillId="0" borderId="1" xfId="0" applyNumberFormat="1"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lumbnation.co.uk/site/vaillant-ecotec-plus-612-system-boiler-natural-gas/" TargetMode="External" /><Relationship Id="rId2" Type="http://schemas.openxmlformats.org/officeDocument/2006/relationships/hyperlink" Target="http://www.plumbnation.co.uk/site/cylinder---pipe-thermostats/" TargetMode="External" /><Relationship Id="rId3" Type="http://schemas.openxmlformats.org/officeDocument/2006/relationships/hyperlink" Target="http://www.discountedheating.co.uk/shop/acatalog/Celotex_GA4000_2400_x_1200_x_50mm_General_Purpose_Insulation.html" TargetMode="External" /><Relationship Id="rId4" Type="http://schemas.openxmlformats.org/officeDocument/2006/relationships/hyperlink" Target="http://catalogue.chilterntimber.co.uk/product8900625catno740625.html" TargetMode="External" /><Relationship Id="rId5" Type="http://schemas.openxmlformats.org/officeDocument/2006/relationships/hyperlink" Target="http://www.stovesonline.co.uk/wood_burning_stoves/Register-Plates.html"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linds-supermarket.co.uk/ourProducts/product_details.aspx?product_id=1530&amp;width=200&amp;drop=174"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linds-supermarket.co.uk/ourProducts/product_details.aspx?product_id=1530&amp;width=200&amp;drop=174" TargetMode="External" /><Relationship Id="rId2" Type="http://schemas.openxmlformats.org/officeDocument/2006/relationships/hyperlink" Target="http://www.bhl.co.uk/product/BAXI_ECOGEN_2410_MICRO_CHP_HEAT_AND_POWER_GAS_BOILER" TargetMode="External" /><Relationship Id="rId3" Type="http://schemas.openxmlformats.org/officeDocument/2006/relationships/comments" Target="../comments5.xml"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linds-supermarket.co.uk/ourProducts/product_details.aspx?product_id=1530&amp;width=200&amp;drop=174" TargetMode="External" /><Relationship Id="rId2" Type="http://schemas.openxmlformats.org/officeDocument/2006/relationships/comments" Target="../comments6.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C20" sqref="C20"/>
    </sheetView>
  </sheetViews>
  <sheetFormatPr defaultColWidth="9.140625" defaultRowHeight="12.75"/>
  <cols>
    <col min="1" max="1" width="3.00390625" style="0" customWidth="1"/>
    <col min="2" max="2" width="9.140625" style="99" customWidth="1"/>
  </cols>
  <sheetData>
    <row r="1" ht="12.75">
      <c r="A1" s="128" t="s">
        <v>202</v>
      </c>
    </row>
    <row r="3" spans="1:14" ht="39" customHeight="1">
      <c r="A3" s="101">
        <v>1</v>
      </c>
      <c r="B3" s="170" t="s">
        <v>205</v>
      </c>
      <c r="C3" s="170"/>
      <c r="D3" s="170"/>
      <c r="E3" s="170"/>
      <c r="F3" s="170"/>
      <c r="G3" s="170"/>
      <c r="H3" s="170"/>
      <c r="I3" s="170"/>
      <c r="J3" s="170"/>
      <c r="K3" s="170"/>
      <c r="L3" s="170"/>
      <c r="M3" s="170"/>
      <c r="N3" s="170"/>
    </row>
    <row r="4" spans="1:14" ht="12.75" customHeight="1">
      <c r="A4" s="101"/>
      <c r="B4" s="100"/>
      <c r="C4" s="100"/>
      <c r="D4" s="100"/>
      <c r="E4" s="100"/>
      <c r="F4" s="100"/>
      <c r="G4" s="100"/>
      <c r="H4" s="100"/>
      <c r="I4" s="100"/>
      <c r="J4" s="100"/>
      <c r="K4" s="100"/>
      <c r="L4" s="100"/>
      <c r="M4" s="100"/>
      <c r="N4" s="100"/>
    </row>
    <row r="5" spans="1:14" ht="38.25" customHeight="1">
      <c r="A5" s="101">
        <v>2</v>
      </c>
      <c r="B5" s="170" t="s">
        <v>349</v>
      </c>
      <c r="C5" s="170"/>
      <c r="D5" s="170"/>
      <c r="E5" s="170"/>
      <c r="F5" s="170"/>
      <c r="G5" s="170"/>
      <c r="H5" s="170"/>
      <c r="I5" s="170"/>
      <c r="J5" s="170"/>
      <c r="K5" s="170"/>
      <c r="L5" s="170"/>
      <c r="M5" s="170"/>
      <c r="N5" s="170"/>
    </row>
    <row r="6" spans="1:14" ht="12.75" customHeight="1">
      <c r="A6" s="101"/>
      <c r="B6" s="100"/>
      <c r="C6" s="100"/>
      <c r="D6" s="100"/>
      <c r="E6" s="100"/>
      <c r="F6" s="100"/>
      <c r="G6" s="100"/>
      <c r="H6" s="100"/>
      <c r="I6" s="100"/>
      <c r="J6" s="100"/>
      <c r="K6" s="100"/>
      <c r="L6" s="100"/>
      <c r="M6" s="100"/>
      <c r="N6" s="100"/>
    </row>
    <row r="7" spans="1:14" ht="25.5" customHeight="1">
      <c r="A7" s="101">
        <v>3</v>
      </c>
      <c r="B7" s="170" t="s">
        <v>203</v>
      </c>
      <c r="C7" s="170"/>
      <c r="D7" s="170"/>
      <c r="E7" s="170"/>
      <c r="F7" s="170"/>
      <c r="G7" s="170"/>
      <c r="H7" s="170"/>
      <c r="I7" s="170"/>
      <c r="J7" s="170"/>
      <c r="K7" s="170"/>
      <c r="L7" s="170"/>
      <c r="M7" s="170"/>
      <c r="N7" s="170"/>
    </row>
    <row r="8" spans="1:14" ht="12.75" customHeight="1">
      <c r="A8" s="101"/>
      <c r="B8" s="100"/>
      <c r="C8" s="100"/>
      <c r="D8" s="100"/>
      <c r="E8" s="100"/>
      <c r="F8" s="100"/>
      <c r="G8" s="100"/>
      <c r="H8" s="100"/>
      <c r="I8" s="100"/>
      <c r="J8" s="100"/>
      <c r="K8" s="100"/>
      <c r="L8" s="100"/>
      <c r="M8" s="100"/>
      <c r="N8" s="100"/>
    </row>
    <row r="9" spans="1:14" ht="39" customHeight="1">
      <c r="A9" s="101">
        <v>4</v>
      </c>
      <c r="B9" s="170" t="s">
        <v>204</v>
      </c>
      <c r="C9" s="170"/>
      <c r="D9" s="170"/>
      <c r="E9" s="170"/>
      <c r="F9" s="170"/>
      <c r="G9" s="170"/>
      <c r="H9" s="170"/>
      <c r="I9" s="170"/>
      <c r="J9" s="170"/>
      <c r="K9" s="170"/>
      <c r="L9" s="170"/>
      <c r="M9" s="170"/>
      <c r="N9" s="170"/>
    </row>
    <row r="11" spans="1:14" ht="12.75">
      <c r="A11" s="101">
        <v>5</v>
      </c>
      <c r="B11" s="170" t="s">
        <v>302</v>
      </c>
      <c r="C11" s="170"/>
      <c r="D11" s="170"/>
      <c r="E11" s="170"/>
      <c r="F11" s="170"/>
      <c r="G11" s="170"/>
      <c r="H11" s="170"/>
      <c r="I11" s="170"/>
      <c r="J11" s="170"/>
      <c r="K11" s="170"/>
      <c r="L11" s="170"/>
      <c r="M11" s="170"/>
      <c r="N11" s="170"/>
    </row>
    <row r="13" spans="1:14" ht="12.75">
      <c r="A13">
        <v>6</v>
      </c>
      <c r="B13" s="170" t="s">
        <v>401</v>
      </c>
      <c r="C13" s="170"/>
      <c r="D13" s="170"/>
      <c r="E13" s="170"/>
      <c r="F13" s="170"/>
      <c r="G13" s="170"/>
      <c r="H13" s="170"/>
      <c r="I13" s="170"/>
      <c r="J13" s="170"/>
      <c r="K13" s="170"/>
      <c r="L13" s="170"/>
      <c r="M13" s="170"/>
      <c r="N13" s="170"/>
    </row>
  </sheetData>
  <mergeCells count="6">
    <mergeCell ref="B13:N13"/>
    <mergeCell ref="B3:N3"/>
    <mergeCell ref="B7:N7"/>
    <mergeCell ref="B9:N9"/>
    <mergeCell ref="B11:N11"/>
    <mergeCell ref="B5:N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50"/>
  <sheetViews>
    <sheetView workbookViewId="0" topLeftCell="A19">
      <selection activeCell="B51" sqref="B51"/>
    </sheetView>
  </sheetViews>
  <sheetFormatPr defaultColWidth="9.140625" defaultRowHeight="12.75"/>
  <cols>
    <col min="1" max="1" width="31.00390625" style="7" customWidth="1"/>
    <col min="2" max="2" width="9.28125" style="7" customWidth="1"/>
    <col min="3" max="6" width="9.28125" style="102" customWidth="1"/>
    <col min="7" max="7" width="12.7109375" style="7" customWidth="1"/>
    <col min="8" max="8" width="9.140625" style="7" customWidth="1"/>
    <col min="9" max="9" width="21.57421875" style="7" customWidth="1"/>
    <col min="10" max="10" width="9.140625" style="55" customWidth="1"/>
    <col min="11" max="16384" width="9.140625" style="7" customWidth="1"/>
  </cols>
  <sheetData>
    <row r="1" spans="1:28" ht="26.25" thickBot="1">
      <c r="A1" s="132" t="s">
        <v>1</v>
      </c>
      <c r="B1" s="130" t="s">
        <v>206</v>
      </c>
      <c r="C1" s="131" t="s">
        <v>207</v>
      </c>
      <c r="D1" s="131" t="s">
        <v>209</v>
      </c>
      <c r="E1" s="157" t="s">
        <v>340</v>
      </c>
      <c r="F1" s="131" t="s">
        <v>208</v>
      </c>
      <c r="G1" s="130" t="s">
        <v>9</v>
      </c>
      <c r="H1" s="130" t="s">
        <v>298</v>
      </c>
      <c r="I1" s="132" t="s">
        <v>299</v>
      </c>
      <c r="J1" s="132" t="s">
        <v>300</v>
      </c>
      <c r="K1" s="133"/>
      <c r="L1" s="129"/>
      <c r="M1" s="129"/>
      <c r="N1" s="129"/>
      <c r="O1" s="129"/>
      <c r="P1" s="129"/>
      <c r="Q1" s="129"/>
      <c r="R1" s="129"/>
      <c r="S1" s="129"/>
      <c r="T1" s="129"/>
      <c r="U1" s="129"/>
      <c r="V1" s="129"/>
      <c r="W1" s="129"/>
      <c r="X1" s="129"/>
      <c r="Y1" s="129"/>
      <c r="Z1" s="129"/>
      <c r="AA1" s="129"/>
      <c r="AB1" s="129"/>
    </row>
    <row r="2" spans="1:10" ht="12.75">
      <c r="A2" s="7" t="s">
        <v>16</v>
      </c>
      <c r="B2" s="7">
        <f>3*0.8</f>
        <v>2.4000000000000004</v>
      </c>
      <c r="C2" s="102">
        <v>0.1</v>
      </c>
      <c r="D2" s="102">
        <v>0</v>
      </c>
      <c r="E2" s="102">
        <v>0.1</v>
      </c>
      <c r="F2" s="102">
        <v>0.2</v>
      </c>
      <c r="G2" s="7">
        <f>+B2+(B2*C2)+(D2*B2)+(E2*B2)+(F2*B2)</f>
        <v>3.3600000000000008</v>
      </c>
      <c r="H2" s="7" t="s">
        <v>8</v>
      </c>
      <c r="I2" s="7" t="s">
        <v>210</v>
      </c>
      <c r="J2" s="7" t="s">
        <v>210</v>
      </c>
    </row>
    <row r="3" spans="1:10" ht="12.75">
      <c r="A3" s="7" t="s">
        <v>15</v>
      </c>
      <c r="B3" s="7">
        <f>6*0.8</f>
        <v>4.800000000000001</v>
      </c>
      <c r="C3" s="102">
        <v>0.1</v>
      </c>
      <c r="D3" s="102">
        <v>0</v>
      </c>
      <c r="E3" s="102">
        <v>0.1</v>
      </c>
      <c r="F3" s="102">
        <v>0.2</v>
      </c>
      <c r="G3" s="7">
        <f aca="true" t="shared" si="0" ref="G3:G28">+B3+(B3*C3)+(D3*B3)+(E3*B3)+(F3*B3)</f>
        <v>6.7200000000000015</v>
      </c>
      <c r="H3" s="7" t="s">
        <v>8</v>
      </c>
      <c r="I3" s="7" t="s">
        <v>210</v>
      </c>
      <c r="J3" s="7" t="s">
        <v>210</v>
      </c>
    </row>
    <row r="4" spans="1:9" ht="12.75">
      <c r="A4" s="7" t="s">
        <v>4</v>
      </c>
      <c r="B4" s="7">
        <v>25</v>
      </c>
      <c r="C4" s="102">
        <v>0</v>
      </c>
      <c r="D4" s="102">
        <v>0</v>
      </c>
      <c r="E4" s="102">
        <v>0</v>
      </c>
      <c r="F4" s="102">
        <v>0.2</v>
      </c>
      <c r="G4" s="7">
        <f t="shared" si="0"/>
        <v>30</v>
      </c>
      <c r="H4" s="7" t="s">
        <v>37</v>
      </c>
      <c r="I4" s="7" t="s">
        <v>301</v>
      </c>
    </row>
    <row r="5" spans="1:10" ht="12.75">
      <c r="A5" s="7" t="s">
        <v>24</v>
      </c>
      <c r="B5" s="7">
        <f>8.99*0.8</f>
        <v>7.192</v>
      </c>
      <c r="C5" s="102">
        <v>0.1</v>
      </c>
      <c r="D5" s="102">
        <v>0</v>
      </c>
      <c r="E5" s="102">
        <v>0.1</v>
      </c>
      <c r="F5" s="102">
        <v>0.2</v>
      </c>
      <c r="G5" s="7">
        <f t="shared" si="0"/>
        <v>10.0688</v>
      </c>
      <c r="H5" s="7" t="s">
        <v>8</v>
      </c>
      <c r="I5" s="7" t="s">
        <v>210</v>
      </c>
      <c r="J5" s="55" t="s">
        <v>32</v>
      </c>
    </row>
    <row r="6" spans="1:10" ht="12.75">
      <c r="A6" s="7" t="s">
        <v>25</v>
      </c>
      <c r="B6" s="7">
        <f>8.49*0.8</f>
        <v>6.792000000000001</v>
      </c>
      <c r="C6" s="102">
        <v>0.1</v>
      </c>
      <c r="D6" s="102">
        <v>0</v>
      </c>
      <c r="E6" s="102">
        <v>0.1</v>
      </c>
      <c r="F6" s="102">
        <v>0.2</v>
      </c>
      <c r="G6" s="7">
        <f t="shared" si="0"/>
        <v>9.5088</v>
      </c>
      <c r="H6" s="7" t="s">
        <v>36</v>
      </c>
      <c r="I6" s="7" t="s">
        <v>210</v>
      </c>
      <c r="J6" s="55" t="s">
        <v>32</v>
      </c>
    </row>
    <row r="7" spans="1:10" ht="12.75">
      <c r="A7" s="7" t="s">
        <v>34</v>
      </c>
      <c r="B7" s="7">
        <f>5.07*0.8</f>
        <v>4.056</v>
      </c>
      <c r="C7" s="102">
        <v>0.1</v>
      </c>
      <c r="D7" s="102">
        <v>0</v>
      </c>
      <c r="E7" s="102">
        <v>0.1</v>
      </c>
      <c r="F7" s="102">
        <v>0.2</v>
      </c>
      <c r="G7" s="7">
        <f t="shared" si="0"/>
        <v>5.6784</v>
      </c>
      <c r="H7" s="7" t="s">
        <v>35</v>
      </c>
      <c r="I7" s="7" t="s">
        <v>210</v>
      </c>
      <c r="J7" s="55" t="s">
        <v>33</v>
      </c>
    </row>
    <row r="8" spans="1:8" ht="12.75">
      <c r="A8" s="7" t="s">
        <v>42</v>
      </c>
      <c r="B8" s="7">
        <v>3</v>
      </c>
      <c r="C8" s="102">
        <v>0.1</v>
      </c>
      <c r="D8" s="102">
        <v>0.05</v>
      </c>
      <c r="E8" s="102">
        <v>0.1</v>
      </c>
      <c r="F8" s="102">
        <v>0.2</v>
      </c>
      <c r="G8" s="7">
        <f t="shared" si="0"/>
        <v>4.35</v>
      </c>
      <c r="H8" s="7" t="s">
        <v>8</v>
      </c>
    </row>
    <row r="9" spans="1:10" ht="12.75">
      <c r="A9" s="7" t="s">
        <v>45</v>
      </c>
      <c r="B9" s="7">
        <f>62.07*0.95</f>
        <v>58.966499999999996</v>
      </c>
      <c r="C9" s="102">
        <v>0.1</v>
      </c>
      <c r="D9" s="102">
        <v>0</v>
      </c>
      <c r="E9" s="102">
        <v>0.1</v>
      </c>
      <c r="F9" s="102">
        <v>0.05</v>
      </c>
      <c r="G9" s="7">
        <f t="shared" si="0"/>
        <v>73.70812499999998</v>
      </c>
      <c r="H9" s="7" t="s">
        <v>8</v>
      </c>
      <c r="I9" s="7" t="s">
        <v>211</v>
      </c>
      <c r="J9" s="55" t="s">
        <v>48</v>
      </c>
    </row>
    <row r="10" spans="1:10" ht="12.75">
      <c r="A10" s="7" t="s">
        <v>46</v>
      </c>
      <c r="B10" s="7">
        <f>9.82*0.95</f>
        <v>9.329</v>
      </c>
      <c r="C10" s="102">
        <v>0.1</v>
      </c>
      <c r="D10" s="102">
        <v>0</v>
      </c>
      <c r="E10" s="102">
        <v>0.1</v>
      </c>
      <c r="F10" s="102">
        <v>0.05</v>
      </c>
      <c r="G10" s="7">
        <f t="shared" si="0"/>
        <v>11.66125</v>
      </c>
      <c r="H10" s="7" t="s">
        <v>8</v>
      </c>
      <c r="I10" s="7" t="s">
        <v>211</v>
      </c>
      <c r="J10" s="55" t="s">
        <v>49</v>
      </c>
    </row>
    <row r="11" spans="1:10" ht="12.75">
      <c r="A11" s="7" t="s">
        <v>47</v>
      </c>
      <c r="B11" s="7">
        <v>11.94</v>
      </c>
      <c r="C11" s="102">
        <v>0.1</v>
      </c>
      <c r="D11" s="102">
        <v>0</v>
      </c>
      <c r="E11" s="102">
        <v>0.1</v>
      </c>
      <c r="F11" s="102">
        <v>0.05</v>
      </c>
      <c r="G11" s="7">
        <f t="shared" si="0"/>
        <v>14.924999999999999</v>
      </c>
      <c r="H11" s="7" t="s">
        <v>8</v>
      </c>
      <c r="I11" s="7" t="s">
        <v>211</v>
      </c>
      <c r="J11" s="55" t="s">
        <v>50</v>
      </c>
    </row>
    <row r="12" spans="1:10" ht="12.75">
      <c r="A12" s="7" t="s">
        <v>56</v>
      </c>
      <c r="B12" s="7">
        <f>2.92*0.8</f>
        <v>2.336</v>
      </c>
      <c r="C12" s="102">
        <v>0</v>
      </c>
      <c r="D12" s="102">
        <v>0.15</v>
      </c>
      <c r="E12" s="102">
        <v>0.1</v>
      </c>
      <c r="F12" s="102">
        <v>0.2</v>
      </c>
      <c r="G12" s="7">
        <f t="shared" si="0"/>
        <v>3.3872</v>
      </c>
      <c r="H12" s="7" t="s">
        <v>35</v>
      </c>
      <c r="I12" s="7" t="s">
        <v>211</v>
      </c>
      <c r="J12" s="55" t="s">
        <v>55</v>
      </c>
    </row>
    <row r="13" spans="1:10" ht="12.75">
      <c r="A13" s="7" t="s">
        <v>62</v>
      </c>
      <c r="B13" s="7">
        <f>1.39*0.8</f>
        <v>1.1119999999999999</v>
      </c>
      <c r="C13" s="102">
        <v>0.1</v>
      </c>
      <c r="D13" s="102">
        <v>0.1</v>
      </c>
      <c r="E13" s="102">
        <v>0.1</v>
      </c>
      <c r="F13" s="102">
        <v>0.2</v>
      </c>
      <c r="G13" s="7">
        <f t="shared" si="0"/>
        <v>1.6679999999999997</v>
      </c>
      <c r="H13" s="7" t="s">
        <v>35</v>
      </c>
      <c r="I13" s="7" t="s">
        <v>211</v>
      </c>
      <c r="J13" s="55" t="s">
        <v>63</v>
      </c>
    </row>
    <row r="14" spans="1:10" ht="12.75">
      <c r="A14" s="7" t="s">
        <v>69</v>
      </c>
      <c r="B14" s="7">
        <f>4.95*0.8</f>
        <v>3.9600000000000004</v>
      </c>
      <c r="C14" s="102">
        <v>0.1</v>
      </c>
      <c r="D14" s="102">
        <v>0</v>
      </c>
      <c r="E14" s="102">
        <v>0.1</v>
      </c>
      <c r="F14" s="102">
        <v>0.2</v>
      </c>
      <c r="G14" s="7">
        <f t="shared" si="0"/>
        <v>5.5440000000000005</v>
      </c>
      <c r="H14" s="7" t="s">
        <v>8</v>
      </c>
      <c r="I14" s="7" t="s">
        <v>211</v>
      </c>
      <c r="J14" s="55" t="s">
        <v>70</v>
      </c>
    </row>
    <row r="15" spans="1:10" ht="12.75">
      <c r="A15" s="7" t="s">
        <v>73</v>
      </c>
      <c r="B15" s="7">
        <f>(4.98/12)*0.8</f>
        <v>0.3320000000000001</v>
      </c>
      <c r="C15" s="102">
        <v>0.1</v>
      </c>
      <c r="D15" s="102">
        <v>0</v>
      </c>
      <c r="E15" s="102">
        <v>0.1</v>
      </c>
      <c r="F15" s="102">
        <v>0.2</v>
      </c>
      <c r="G15" s="7">
        <f t="shared" si="0"/>
        <v>0.4648000000000001</v>
      </c>
      <c r="H15" s="7" t="s">
        <v>35</v>
      </c>
      <c r="I15" s="7" t="s">
        <v>211</v>
      </c>
      <c r="J15" s="55" t="s">
        <v>74</v>
      </c>
    </row>
    <row r="16" spans="1:10" ht="12.75">
      <c r="A16" s="7" t="s">
        <v>76</v>
      </c>
      <c r="B16" s="7">
        <f>9.15*0.95</f>
        <v>8.6925</v>
      </c>
      <c r="C16" s="102">
        <v>0.1</v>
      </c>
      <c r="D16" s="102">
        <v>0.05</v>
      </c>
      <c r="E16" s="102">
        <v>0.1</v>
      </c>
      <c r="F16" s="102">
        <v>0.05</v>
      </c>
      <c r="G16" s="7">
        <f t="shared" si="0"/>
        <v>11.300250000000002</v>
      </c>
      <c r="H16" s="7" t="s">
        <v>35</v>
      </c>
      <c r="I16" s="7" t="s">
        <v>211</v>
      </c>
      <c r="J16" s="55" t="s">
        <v>77</v>
      </c>
    </row>
    <row r="17" spans="1:10" ht="12.75">
      <c r="A17" s="7" t="s">
        <v>82</v>
      </c>
      <c r="B17" s="7">
        <f>(36/0.836)</f>
        <v>43.0622009569378</v>
      </c>
      <c r="C17" s="102">
        <v>0.1</v>
      </c>
      <c r="D17" s="102">
        <v>0.05</v>
      </c>
      <c r="E17" s="102">
        <v>0.1</v>
      </c>
      <c r="F17" s="102">
        <v>0.2</v>
      </c>
      <c r="G17" s="7">
        <f t="shared" si="0"/>
        <v>62.440191387559814</v>
      </c>
      <c r="H17" s="7" t="s">
        <v>35</v>
      </c>
      <c r="I17" s="71"/>
      <c r="J17" s="55" t="s">
        <v>81</v>
      </c>
    </row>
    <row r="18" spans="1:10" ht="12.75">
      <c r="A18" s="7" t="s">
        <v>97</v>
      </c>
      <c r="B18" s="7">
        <v>408.5</v>
      </c>
      <c r="C18" s="102">
        <v>0.1</v>
      </c>
      <c r="D18" s="102">
        <v>0</v>
      </c>
      <c r="E18" s="102">
        <v>0.1</v>
      </c>
      <c r="F18" s="102">
        <v>0.05</v>
      </c>
      <c r="G18" s="7">
        <f t="shared" si="0"/>
        <v>510.62500000000006</v>
      </c>
      <c r="H18" s="7" t="s">
        <v>8</v>
      </c>
      <c r="J18" s="7" t="s">
        <v>98</v>
      </c>
    </row>
    <row r="19" spans="1:10" ht="12.75">
      <c r="A19" s="7" t="s">
        <v>101</v>
      </c>
      <c r="B19" s="7">
        <v>589</v>
      </c>
      <c r="C19" s="102">
        <v>0</v>
      </c>
      <c r="D19" s="102">
        <v>0</v>
      </c>
      <c r="E19" s="102">
        <v>0.15</v>
      </c>
      <c r="F19" s="102">
        <v>0.2</v>
      </c>
      <c r="G19" s="7">
        <f t="shared" si="0"/>
        <v>795.1500000000001</v>
      </c>
      <c r="H19" s="7" t="s">
        <v>8</v>
      </c>
      <c r="I19" s="71"/>
      <c r="J19" s="55" t="s">
        <v>102</v>
      </c>
    </row>
    <row r="20" spans="1:10" ht="12.75">
      <c r="A20" s="7" t="s">
        <v>106</v>
      </c>
      <c r="B20" s="7">
        <f>(110.4/(50))</f>
        <v>2.208</v>
      </c>
      <c r="C20" s="102">
        <v>0.1</v>
      </c>
      <c r="D20" s="102">
        <v>0.05</v>
      </c>
      <c r="E20" s="102">
        <v>0.1</v>
      </c>
      <c r="F20" s="102">
        <v>0.2</v>
      </c>
      <c r="G20" s="7">
        <f t="shared" si="0"/>
        <v>3.2016000000000004</v>
      </c>
      <c r="H20" s="7" t="s">
        <v>35</v>
      </c>
      <c r="I20" s="7" t="s">
        <v>211</v>
      </c>
      <c r="J20" s="55" t="s">
        <v>105</v>
      </c>
    </row>
    <row r="21" spans="1:10" ht="12.75">
      <c r="A21" s="7" t="s">
        <v>117</v>
      </c>
      <c r="B21" s="7">
        <v>23.09</v>
      </c>
      <c r="C21" s="102">
        <v>0</v>
      </c>
      <c r="D21" s="102">
        <v>0</v>
      </c>
      <c r="E21" s="102">
        <v>0.1</v>
      </c>
      <c r="F21" s="102">
        <v>0.2</v>
      </c>
      <c r="G21" s="7">
        <f t="shared" si="0"/>
        <v>30.017000000000003</v>
      </c>
      <c r="H21" s="7" t="s">
        <v>1</v>
      </c>
      <c r="I21" s="7" t="s">
        <v>211</v>
      </c>
      <c r="J21" s="55" t="s">
        <v>116</v>
      </c>
    </row>
    <row r="22" spans="1:10" ht="12.75">
      <c r="A22" s="7" t="s">
        <v>122</v>
      </c>
      <c r="B22" s="7">
        <v>108.25</v>
      </c>
      <c r="C22" s="102">
        <v>0</v>
      </c>
      <c r="D22" s="102">
        <v>0</v>
      </c>
      <c r="E22" s="102">
        <v>0.1</v>
      </c>
      <c r="F22" s="102">
        <v>0.2</v>
      </c>
      <c r="G22" s="7">
        <f t="shared" si="0"/>
        <v>140.725</v>
      </c>
      <c r="H22" s="7" t="s">
        <v>8</v>
      </c>
      <c r="I22" s="7" t="s">
        <v>211</v>
      </c>
      <c r="J22" s="55" t="s">
        <v>123</v>
      </c>
    </row>
    <row r="23" spans="1:10" ht="12.75">
      <c r="A23" s="7" t="s">
        <v>130</v>
      </c>
      <c r="B23" s="7">
        <f>2.67*0.8</f>
        <v>2.136</v>
      </c>
      <c r="C23" s="102">
        <v>0</v>
      </c>
      <c r="D23" s="102">
        <v>0.1</v>
      </c>
      <c r="E23" s="102">
        <v>0.1</v>
      </c>
      <c r="F23" s="102">
        <v>0.2</v>
      </c>
      <c r="G23" s="7">
        <f t="shared" si="0"/>
        <v>2.9904</v>
      </c>
      <c r="H23" s="7" t="s">
        <v>35</v>
      </c>
      <c r="I23" s="7" t="s">
        <v>211</v>
      </c>
      <c r="J23" s="55" t="s">
        <v>129</v>
      </c>
    </row>
    <row r="24" spans="1:10" ht="12.75">
      <c r="A24" s="7" t="s">
        <v>212</v>
      </c>
      <c r="B24" s="7">
        <f>+(185/(3.6))</f>
        <v>51.388888888888886</v>
      </c>
      <c r="C24" s="102">
        <v>0.2</v>
      </c>
      <c r="D24" s="102">
        <v>0.1</v>
      </c>
      <c r="E24" s="102">
        <v>0.1</v>
      </c>
      <c r="F24" s="102">
        <v>0.05</v>
      </c>
      <c r="G24" s="7">
        <f t="shared" si="0"/>
        <v>74.51388888888889</v>
      </c>
      <c r="H24" s="7" t="s">
        <v>35</v>
      </c>
      <c r="J24" s="7" t="s">
        <v>220</v>
      </c>
    </row>
    <row r="25" spans="1:10" ht="12.75">
      <c r="A25" s="7" t="s">
        <v>213</v>
      </c>
      <c r="B25" s="7">
        <f>45/(25/(3.75))</f>
        <v>6.75</v>
      </c>
      <c r="C25" s="102">
        <v>0.2</v>
      </c>
      <c r="D25" s="102">
        <v>0.05</v>
      </c>
      <c r="E25" s="102">
        <v>0.1</v>
      </c>
      <c r="F25" s="102">
        <v>0.05</v>
      </c>
      <c r="G25" s="7">
        <f t="shared" si="0"/>
        <v>9.450000000000001</v>
      </c>
      <c r="H25" s="7" t="s">
        <v>35</v>
      </c>
      <c r="I25" s="71"/>
      <c r="J25" s="7" t="s">
        <v>220</v>
      </c>
    </row>
    <row r="26" spans="1:10" ht="12.75">
      <c r="A26" s="7" t="s">
        <v>214</v>
      </c>
      <c r="B26" s="7">
        <f>50/(20/(5.8))</f>
        <v>14.499999999999998</v>
      </c>
      <c r="C26" s="102">
        <v>0.2</v>
      </c>
      <c r="D26" s="102">
        <v>0.05</v>
      </c>
      <c r="E26" s="102">
        <v>0.1</v>
      </c>
      <c r="F26" s="102">
        <v>0.05</v>
      </c>
      <c r="G26" s="7">
        <f t="shared" si="0"/>
        <v>20.3</v>
      </c>
      <c r="H26" s="7" t="s">
        <v>35</v>
      </c>
      <c r="I26" s="71"/>
      <c r="J26" s="7" t="s">
        <v>220</v>
      </c>
    </row>
    <row r="27" spans="1:10" ht="12.75">
      <c r="A27" s="7" t="s">
        <v>216</v>
      </c>
      <c r="B27" s="7">
        <f>40/(15/(1.5))</f>
        <v>4</v>
      </c>
      <c r="C27" s="102">
        <v>0.2</v>
      </c>
      <c r="D27" s="102">
        <v>0.05</v>
      </c>
      <c r="E27" s="102">
        <v>0.1</v>
      </c>
      <c r="F27" s="102">
        <v>0.05</v>
      </c>
      <c r="G27" s="7">
        <f t="shared" si="0"/>
        <v>5.6000000000000005</v>
      </c>
      <c r="H27" s="7" t="s">
        <v>35</v>
      </c>
      <c r="I27" s="71"/>
      <c r="J27" s="7" t="s">
        <v>220</v>
      </c>
    </row>
    <row r="28" spans="1:10" ht="12.75">
      <c r="A28" s="7" t="s">
        <v>218</v>
      </c>
      <c r="B28" s="7">
        <v>2.64</v>
      </c>
      <c r="C28" s="102">
        <v>0.2</v>
      </c>
      <c r="D28" s="102">
        <v>0.05</v>
      </c>
      <c r="E28" s="102">
        <v>0.1</v>
      </c>
      <c r="F28" s="102">
        <v>0.05</v>
      </c>
      <c r="G28" s="7">
        <f t="shared" si="0"/>
        <v>3.696</v>
      </c>
      <c r="H28" s="7" t="s">
        <v>35</v>
      </c>
      <c r="I28" s="71"/>
      <c r="J28" s="7" t="s">
        <v>220</v>
      </c>
    </row>
    <row r="29" spans="1:10" ht="12.75">
      <c r="A29" s="7" t="s">
        <v>219</v>
      </c>
      <c r="B29" s="7">
        <f>+(270/(5.76))</f>
        <v>46.875</v>
      </c>
      <c r="C29" s="102">
        <v>0.2</v>
      </c>
      <c r="D29" s="102">
        <v>0.1</v>
      </c>
      <c r="E29" s="102">
        <v>0.1</v>
      </c>
      <c r="F29" s="102">
        <v>0.05</v>
      </c>
      <c r="G29" s="7">
        <f aca="true" t="shared" si="1" ref="G29:G44">+B29+(B29*C29)+(D29*B29)+(E29*B29)+(F29*B29)</f>
        <v>67.96875</v>
      </c>
      <c r="H29" s="7" t="s">
        <v>35</v>
      </c>
      <c r="I29" s="71"/>
      <c r="J29" s="7" t="s">
        <v>220</v>
      </c>
    </row>
    <row r="30" spans="1:10" ht="12.75">
      <c r="A30" s="7" t="s">
        <v>226</v>
      </c>
      <c r="B30" s="7">
        <f>+(65/(3.6))</f>
        <v>18.055555555555554</v>
      </c>
      <c r="C30" s="102">
        <v>0.2</v>
      </c>
      <c r="D30" s="102">
        <v>0.1</v>
      </c>
      <c r="E30" s="102">
        <v>0.1</v>
      </c>
      <c r="F30" s="102">
        <v>0.05</v>
      </c>
      <c r="G30" s="7">
        <f t="shared" si="1"/>
        <v>26.180555555555557</v>
      </c>
      <c r="H30" s="7" t="s">
        <v>35</v>
      </c>
      <c r="I30" s="71"/>
      <c r="J30" s="7" t="s">
        <v>220</v>
      </c>
    </row>
    <row r="31" spans="1:10" ht="12.75">
      <c r="A31" s="7" t="s">
        <v>242</v>
      </c>
      <c r="B31" s="7">
        <v>42</v>
      </c>
      <c r="C31" s="102">
        <v>0.1</v>
      </c>
      <c r="D31" s="102">
        <v>0.05</v>
      </c>
      <c r="E31" s="102">
        <v>0.1</v>
      </c>
      <c r="F31" s="102">
        <v>0.05</v>
      </c>
      <c r="G31" s="7">
        <f t="shared" si="1"/>
        <v>54.60000000000001</v>
      </c>
      <c r="H31" s="7" t="s">
        <v>35</v>
      </c>
      <c r="I31" s="71"/>
      <c r="J31" s="7" t="s">
        <v>244</v>
      </c>
    </row>
    <row r="32" spans="1:10" ht="12.75">
      <c r="A32" s="7" t="s">
        <v>243</v>
      </c>
      <c r="B32" s="7">
        <v>36</v>
      </c>
      <c r="C32" s="102">
        <v>0.1</v>
      </c>
      <c r="D32" s="102">
        <v>0.05</v>
      </c>
      <c r="E32" s="102">
        <v>0.1</v>
      </c>
      <c r="F32" s="102">
        <v>0.05</v>
      </c>
      <c r="G32" s="7">
        <f t="shared" si="1"/>
        <v>46.8</v>
      </c>
      <c r="H32" s="7" t="s">
        <v>35</v>
      </c>
      <c r="I32" s="71"/>
      <c r="J32" s="7" t="s">
        <v>244</v>
      </c>
    </row>
    <row r="33" spans="1:10" ht="12.75">
      <c r="A33" s="7" t="s">
        <v>306</v>
      </c>
      <c r="B33" s="7">
        <v>358.34</v>
      </c>
      <c r="C33" s="102">
        <v>0</v>
      </c>
      <c r="D33" s="102">
        <v>0</v>
      </c>
      <c r="E33" s="102">
        <v>0.1</v>
      </c>
      <c r="F33" s="102">
        <v>0.2</v>
      </c>
      <c r="G33" s="7">
        <f t="shared" si="1"/>
        <v>465.842</v>
      </c>
      <c r="H33" s="7" t="s">
        <v>1</v>
      </c>
      <c r="I33" s="71"/>
      <c r="J33" s="7" t="s">
        <v>307</v>
      </c>
    </row>
    <row r="34" spans="1:10" ht="12.75">
      <c r="A34" s="7" t="s">
        <v>311</v>
      </c>
      <c r="B34" s="7">
        <v>250</v>
      </c>
      <c r="C34" s="102">
        <v>0</v>
      </c>
      <c r="D34" s="102">
        <v>0</v>
      </c>
      <c r="E34" s="102">
        <v>0</v>
      </c>
      <c r="F34" s="102">
        <v>0.2</v>
      </c>
      <c r="G34" s="7">
        <f t="shared" si="1"/>
        <v>300</v>
      </c>
      <c r="H34" s="7" t="s">
        <v>1</v>
      </c>
      <c r="I34" s="7" t="s">
        <v>312</v>
      </c>
      <c r="J34" s="7" t="s">
        <v>313</v>
      </c>
    </row>
    <row r="35" spans="1:10" ht="12.75">
      <c r="A35" s="7" t="s">
        <v>310</v>
      </c>
      <c r="B35" s="7">
        <v>1885</v>
      </c>
      <c r="C35" s="102">
        <v>0</v>
      </c>
      <c r="D35" s="102">
        <v>0</v>
      </c>
      <c r="E35" s="102">
        <v>0.1</v>
      </c>
      <c r="F35" s="102">
        <v>0.2</v>
      </c>
      <c r="G35" s="7">
        <f t="shared" si="1"/>
        <v>2450.5</v>
      </c>
      <c r="H35" s="7" t="s">
        <v>1</v>
      </c>
      <c r="I35" s="71"/>
      <c r="J35" s="7" t="s">
        <v>307</v>
      </c>
    </row>
    <row r="36" spans="1:10" ht="12.75">
      <c r="A36" s="7" t="s">
        <v>311</v>
      </c>
      <c r="B36" s="7">
        <v>2500</v>
      </c>
      <c r="C36" s="102">
        <v>0</v>
      </c>
      <c r="D36" s="102">
        <v>0</v>
      </c>
      <c r="E36" s="102">
        <v>0</v>
      </c>
      <c r="F36" s="102">
        <v>0.2</v>
      </c>
      <c r="G36" s="7">
        <f t="shared" si="1"/>
        <v>3000</v>
      </c>
      <c r="H36" s="7" t="s">
        <v>1</v>
      </c>
      <c r="I36" s="7" t="s">
        <v>312</v>
      </c>
      <c r="J36" s="7" t="s">
        <v>313</v>
      </c>
    </row>
    <row r="37" spans="1:10" ht="12.75">
      <c r="A37" s="7" t="s">
        <v>315</v>
      </c>
      <c r="B37" s="7">
        <v>688.25</v>
      </c>
      <c r="C37" s="102">
        <v>0</v>
      </c>
      <c r="D37" s="102">
        <v>0</v>
      </c>
      <c r="E37" s="102">
        <v>0.1</v>
      </c>
      <c r="F37" s="102">
        <v>0.2</v>
      </c>
      <c r="G37" s="7">
        <f t="shared" si="1"/>
        <v>894.725</v>
      </c>
      <c r="H37" s="7" t="s">
        <v>1</v>
      </c>
      <c r="I37" s="71"/>
      <c r="J37" s="7" t="s">
        <v>307</v>
      </c>
    </row>
    <row r="38" spans="1:10" ht="12.75">
      <c r="A38" s="7" t="s">
        <v>311</v>
      </c>
      <c r="B38" s="7">
        <v>350</v>
      </c>
      <c r="C38" s="102">
        <v>0</v>
      </c>
      <c r="D38" s="102">
        <v>0</v>
      </c>
      <c r="E38" s="102">
        <v>0</v>
      </c>
      <c r="F38" s="102">
        <v>0.2</v>
      </c>
      <c r="G38" s="7">
        <f t="shared" si="1"/>
        <v>420</v>
      </c>
      <c r="H38" s="7" t="s">
        <v>1</v>
      </c>
      <c r="I38" s="7" t="s">
        <v>312</v>
      </c>
      <c r="J38" s="7" t="s">
        <v>313</v>
      </c>
    </row>
    <row r="39" spans="1:10" ht="12.75">
      <c r="A39" s="7" t="s">
        <v>317</v>
      </c>
      <c r="B39" s="7">
        <v>1735</v>
      </c>
      <c r="C39" s="102">
        <v>0</v>
      </c>
      <c r="D39" s="102">
        <v>0</v>
      </c>
      <c r="E39" s="102">
        <v>0.1</v>
      </c>
      <c r="F39" s="102">
        <v>0.2</v>
      </c>
      <c r="G39" s="7">
        <f t="shared" si="1"/>
        <v>2255.5</v>
      </c>
      <c r="H39" s="7" t="s">
        <v>1</v>
      </c>
      <c r="I39" s="71"/>
      <c r="J39" s="7" t="s">
        <v>307</v>
      </c>
    </row>
    <row r="40" spans="1:10" ht="12.75">
      <c r="A40" s="7" t="s">
        <v>311</v>
      </c>
      <c r="B40" s="7">
        <v>2200</v>
      </c>
      <c r="C40" s="102">
        <v>0</v>
      </c>
      <c r="D40" s="102">
        <v>0</v>
      </c>
      <c r="E40" s="102">
        <v>0</v>
      </c>
      <c r="F40" s="102">
        <v>0.2</v>
      </c>
      <c r="G40" s="7">
        <f t="shared" si="1"/>
        <v>2640</v>
      </c>
      <c r="H40" s="7" t="s">
        <v>1</v>
      </c>
      <c r="I40" s="7" t="s">
        <v>312</v>
      </c>
      <c r="J40" s="7" t="s">
        <v>313</v>
      </c>
    </row>
    <row r="41" spans="1:10" ht="12.75">
      <c r="A41" s="7" t="s">
        <v>318</v>
      </c>
      <c r="B41" s="7">
        <v>1595</v>
      </c>
      <c r="C41" s="102">
        <v>0</v>
      </c>
      <c r="D41" s="102">
        <v>0</v>
      </c>
      <c r="E41" s="102">
        <v>0.1</v>
      </c>
      <c r="F41" s="102">
        <v>0.2</v>
      </c>
      <c r="G41" s="7">
        <f t="shared" si="1"/>
        <v>2073.5</v>
      </c>
      <c r="H41" s="7" t="s">
        <v>1</v>
      </c>
      <c r="I41" s="71"/>
      <c r="J41" s="7" t="s">
        <v>307</v>
      </c>
    </row>
    <row r="42" spans="1:10" ht="12.75">
      <c r="A42" s="7" t="s">
        <v>311</v>
      </c>
      <c r="B42" s="7">
        <v>2000</v>
      </c>
      <c r="C42" s="102">
        <v>0</v>
      </c>
      <c r="D42" s="102">
        <v>0</v>
      </c>
      <c r="E42" s="102">
        <v>0</v>
      </c>
      <c r="F42" s="102">
        <v>0.2</v>
      </c>
      <c r="G42" s="7">
        <f t="shared" si="1"/>
        <v>2400</v>
      </c>
      <c r="H42" s="7" t="s">
        <v>1</v>
      </c>
      <c r="I42" s="7" t="s">
        <v>312</v>
      </c>
      <c r="J42" s="7" t="s">
        <v>313</v>
      </c>
    </row>
    <row r="43" spans="1:8" ht="12.75">
      <c r="A43" s="7" t="s">
        <v>320</v>
      </c>
      <c r="B43" s="7">
        <v>1600</v>
      </c>
      <c r="C43" s="102">
        <v>0</v>
      </c>
      <c r="D43" s="102">
        <v>0</v>
      </c>
      <c r="E43" s="102">
        <v>0</v>
      </c>
      <c r="F43" s="102">
        <v>0.05</v>
      </c>
      <c r="G43" s="7">
        <f t="shared" si="1"/>
        <v>1680</v>
      </c>
      <c r="H43" s="7" t="s">
        <v>1</v>
      </c>
    </row>
    <row r="44" spans="1:10" ht="12.75">
      <c r="A44" s="7" t="s">
        <v>323</v>
      </c>
      <c r="B44" s="7">
        <v>150</v>
      </c>
      <c r="C44" s="102">
        <v>0</v>
      </c>
      <c r="D44" s="102">
        <v>0</v>
      </c>
      <c r="E44" s="102">
        <v>0</v>
      </c>
      <c r="F44" s="102">
        <v>0</v>
      </c>
      <c r="G44" s="7">
        <f t="shared" si="1"/>
        <v>150</v>
      </c>
      <c r="H44" s="7" t="s">
        <v>1</v>
      </c>
      <c r="J44" s="7" t="s">
        <v>324</v>
      </c>
    </row>
    <row r="45" spans="1:10" ht="12.75">
      <c r="A45" s="7" t="s">
        <v>343</v>
      </c>
      <c r="B45" s="7">
        <f>7.25/1.2</f>
        <v>6.041666666666667</v>
      </c>
      <c r="C45" s="102">
        <v>0</v>
      </c>
      <c r="D45" s="102">
        <v>0</v>
      </c>
      <c r="E45" s="102">
        <v>0.1</v>
      </c>
      <c r="F45" s="102">
        <v>0.2</v>
      </c>
      <c r="G45" s="7">
        <f>+B45+(B45*C45)+(D45*B45)+(E45*B45)+(F45*B45)</f>
        <v>7.854166666666668</v>
      </c>
      <c r="H45" s="7" t="s">
        <v>1</v>
      </c>
      <c r="J45" s="7" t="s">
        <v>344</v>
      </c>
    </row>
    <row r="46" spans="1:10" ht="12.75">
      <c r="A46" s="7" t="s">
        <v>350</v>
      </c>
      <c r="B46" s="7">
        <f>19.32/(2.4*1.2)</f>
        <v>6.708333333333334</v>
      </c>
      <c r="C46" s="102">
        <v>0</v>
      </c>
      <c r="D46" s="102">
        <v>0.05</v>
      </c>
      <c r="E46" s="102">
        <v>0.1</v>
      </c>
      <c r="F46" s="102">
        <v>0.05</v>
      </c>
      <c r="G46" s="7">
        <f>+B46+(B46*C46)+(D46*B46)+(E46*B46)+(F46*B46)</f>
        <v>8.05</v>
      </c>
      <c r="H46" s="7" t="s">
        <v>35</v>
      </c>
      <c r="J46" s="55" t="s">
        <v>351</v>
      </c>
    </row>
    <row r="47" spans="1:10" ht="12.75">
      <c r="A47" s="7" t="s">
        <v>352</v>
      </c>
      <c r="B47" s="7">
        <f>6.9/1.2/50</f>
        <v>0.11500000000000002</v>
      </c>
      <c r="C47" s="102">
        <v>0</v>
      </c>
      <c r="D47" s="102">
        <v>0.1</v>
      </c>
      <c r="E47" s="102">
        <v>0.1</v>
      </c>
      <c r="F47" s="102">
        <v>0.05</v>
      </c>
      <c r="G47" s="7">
        <f>+B47+(B47*C47)+(D47*B47)+(E47*B47)+(F47*B47)</f>
        <v>0.14375000000000004</v>
      </c>
      <c r="H47" s="7" t="s">
        <v>108</v>
      </c>
      <c r="J47" s="55" t="s">
        <v>353</v>
      </c>
    </row>
    <row r="48" spans="1:10" ht="12.75">
      <c r="A48" s="7" t="s">
        <v>382</v>
      </c>
      <c r="B48" s="7">
        <v>6</v>
      </c>
      <c r="C48" s="102">
        <v>0</v>
      </c>
      <c r="D48" s="102">
        <v>0</v>
      </c>
      <c r="E48" s="102">
        <v>0</v>
      </c>
      <c r="F48" s="102">
        <v>0.05</v>
      </c>
      <c r="G48" s="7">
        <f>+B48+(B48*C48)+(D48*B48)+(E48*B48)+(F48*B48)</f>
        <v>6.3</v>
      </c>
      <c r="H48" s="7" t="s">
        <v>35</v>
      </c>
      <c r="I48" s="7" t="s">
        <v>312</v>
      </c>
      <c r="J48" s="7" t="s">
        <v>383</v>
      </c>
    </row>
    <row r="49" spans="1:10" ht="12.75">
      <c r="A49" s="7" t="s">
        <v>433</v>
      </c>
      <c r="B49" s="7">
        <f>87.5/1.2</f>
        <v>72.91666666666667</v>
      </c>
      <c r="C49" s="102">
        <v>0</v>
      </c>
      <c r="D49" s="102">
        <v>0</v>
      </c>
      <c r="E49" s="102">
        <v>0.1</v>
      </c>
      <c r="F49" s="102">
        <v>0.2</v>
      </c>
      <c r="G49" s="7">
        <f>+B49+(B49*C49)+(D49*B49)+(E49*B49)+(F49*B49)</f>
        <v>94.79166666666669</v>
      </c>
      <c r="H49" s="7" t="s">
        <v>215</v>
      </c>
      <c r="I49" s="7" t="s">
        <v>336</v>
      </c>
      <c r="J49" s="208" t="s">
        <v>434</v>
      </c>
    </row>
    <row r="50" spans="1:10" ht="12.75">
      <c r="A50" s="7" t="s">
        <v>436</v>
      </c>
      <c r="B50" s="7">
        <f>94.26+75</f>
        <v>169.26</v>
      </c>
      <c r="C50" s="102">
        <v>0</v>
      </c>
      <c r="D50" s="102">
        <v>0</v>
      </c>
      <c r="E50" s="102">
        <v>0</v>
      </c>
      <c r="F50" s="102">
        <v>0.2</v>
      </c>
      <c r="G50" s="7">
        <f>+B50+(B50*C50)+(D50*B50)+(E50*B50)+(F50*B50)</f>
        <v>203.112</v>
      </c>
      <c r="H50" s="7" t="s">
        <v>35</v>
      </c>
      <c r="J50" s="7" t="s">
        <v>438</v>
      </c>
    </row>
  </sheetData>
  <hyperlinks>
    <hyperlink ref="J19" r:id="rId1" display="http://www.plumbnation.co.uk/site/vaillant-ecotec-plus-612-system-boiler-natural-gas/"/>
    <hyperlink ref="J11" r:id="rId2" display="http://www.plumbnation.co.uk/site/cylinder---pipe-thermostats/"/>
    <hyperlink ref="J46" r:id="rId3" display="http://www.discountedheating.co.uk/shop/acatalog/Celotex_GA4000_2400_x_1200_x_50mm_General_Purpose_Insulation.html"/>
    <hyperlink ref="J23" r:id="rId4" display="http://catalogue.chilterntimber.co.uk/product8900625catno740625.html"/>
    <hyperlink ref="J22" r:id="rId5" display="http://www.stovesonline.co.uk/wood_burning_stoves/Register-Plates.html"/>
  </hyperlinks>
  <printOptions/>
  <pageMargins left="0.75" right="0.75" top="1" bottom="1" header="0.5" footer="0.5"/>
  <pageSetup horizontalDpi="600" verticalDpi="600" orientation="portrait" paperSize="9" r:id="rId6"/>
</worksheet>
</file>

<file path=xl/worksheets/sheet3.xml><?xml version="1.0" encoding="utf-8"?>
<worksheet xmlns="http://schemas.openxmlformats.org/spreadsheetml/2006/main" xmlns:r="http://schemas.openxmlformats.org/officeDocument/2006/relationships">
  <sheetPr>
    <pageSetUpPr fitToPage="1"/>
  </sheetPr>
  <dimension ref="A1:Z729"/>
  <sheetViews>
    <sheetView view="pageBreakPreview" zoomScale="90" zoomScaleNormal="75" zoomScaleSheetLayoutView="90" workbookViewId="0" topLeftCell="A4">
      <pane xSplit="5" ySplit="7" topLeftCell="F344" activePane="bottomRight" state="frozen"/>
      <selection pane="topLeft" activeCell="A4" sqref="A4"/>
      <selection pane="topRight" activeCell="F4" sqref="F4"/>
      <selection pane="bottomLeft" activeCell="A9" sqref="A9"/>
      <selection pane="bottomRight" activeCell="J356" sqref="J356:J358"/>
    </sheetView>
  </sheetViews>
  <sheetFormatPr defaultColWidth="9.140625" defaultRowHeight="12.75" outlineLevelRow="1" outlineLevelCol="1"/>
  <cols>
    <col min="1" max="1" width="4.00390625" style="67" hidden="1" customWidth="1" outlineLevel="1"/>
    <col min="2" max="2" width="4.421875" style="67" hidden="1" customWidth="1" outlineLevel="1"/>
    <col min="3" max="3" width="6.140625" style="7" hidden="1" customWidth="1" outlineLevel="1"/>
    <col min="4" max="4" width="6.7109375" style="68" hidden="1" customWidth="1" outlineLevel="1"/>
    <col min="5" max="5" width="40.57421875" style="8" customWidth="1" collapsed="1"/>
    <col min="6" max="6" width="6.140625" style="5" customWidth="1"/>
    <col min="7" max="7" width="4.7109375" style="6" customWidth="1"/>
    <col min="8" max="8" width="7.140625" style="6" customWidth="1" outlineLevel="1"/>
    <col min="9" max="9" width="8.57421875" style="6" customWidth="1" outlineLevel="1"/>
    <col min="10" max="10" width="9.8515625" style="7" customWidth="1"/>
    <col min="11" max="11" width="10.57421875" style="7" customWidth="1"/>
    <col min="12" max="12" width="29.00390625" style="91" customWidth="1"/>
    <col min="13" max="13" width="6.140625" style="5" customWidth="1"/>
    <col min="14" max="14" width="4.7109375" style="6" customWidth="1"/>
    <col min="15" max="15" width="9.8515625" style="7" customWidth="1"/>
    <col min="16" max="16" width="10.57421875" style="7" customWidth="1"/>
    <col min="17" max="17" width="29.00390625" style="7" customWidth="1"/>
    <col min="18" max="18" width="0.9921875" style="6" customWidth="1"/>
    <col min="19" max="19" width="35.421875" style="6" customWidth="1"/>
    <col min="20" max="21" width="9.421875" style="6" customWidth="1"/>
    <col min="22" max="22" width="7.421875" style="6" customWidth="1"/>
    <col min="23" max="23" width="11.8515625" style="7" customWidth="1"/>
    <col min="24" max="24" width="27.421875" style="6" customWidth="1"/>
    <col min="25" max="16384" width="9.140625" style="6" customWidth="1"/>
  </cols>
  <sheetData>
    <row r="1" spans="1:5" ht="12.75">
      <c r="A1" s="1"/>
      <c r="B1" s="2"/>
      <c r="C1" s="2"/>
      <c r="D1" s="3"/>
      <c r="E1" s="4" t="s">
        <v>5</v>
      </c>
    </row>
    <row r="2" spans="1:4" ht="12.75">
      <c r="A2" s="1"/>
      <c r="B2" s="2"/>
      <c r="C2" s="2"/>
      <c r="D2" s="3"/>
    </row>
    <row r="3" spans="1:17" ht="12.75">
      <c r="A3" s="1"/>
      <c r="B3" s="2"/>
      <c r="C3" s="2"/>
      <c r="D3" s="3"/>
      <c r="E3" s="9" t="s">
        <v>3</v>
      </c>
      <c r="K3" s="25"/>
      <c r="L3" s="92"/>
      <c r="P3" s="25"/>
      <c r="Q3" s="25"/>
    </row>
    <row r="4" spans="1:17" ht="18.75">
      <c r="A4" s="1"/>
      <c r="B4" s="2"/>
      <c r="C4" s="2"/>
      <c r="D4" s="3"/>
      <c r="E4" s="134" t="s">
        <v>303</v>
      </c>
      <c r="K4" s="25"/>
      <c r="L4" s="92"/>
      <c r="P4" s="25"/>
      <c r="Q4" s="25"/>
    </row>
    <row r="5" spans="1:17" ht="12.75">
      <c r="A5" s="1"/>
      <c r="B5" s="2"/>
      <c r="C5" s="2"/>
      <c r="D5" s="3"/>
      <c r="E5" s="9"/>
      <c r="K5" s="25"/>
      <c r="L5" s="92"/>
      <c r="P5" s="25"/>
      <c r="Q5" s="25"/>
    </row>
    <row r="6" spans="1:17" ht="18.75">
      <c r="A6" s="1"/>
      <c r="B6" s="2"/>
      <c r="C6" s="2"/>
      <c r="D6" s="3"/>
      <c r="E6" s="125" t="s">
        <v>279</v>
      </c>
      <c r="K6" s="10"/>
      <c r="L6" s="93"/>
      <c r="P6" s="10"/>
      <c r="Q6" s="10"/>
    </row>
    <row r="7" spans="1:17" ht="12.75">
      <c r="A7" s="1"/>
      <c r="B7" s="2"/>
      <c r="C7" s="2"/>
      <c r="D7" s="3"/>
      <c r="E7" s="6"/>
      <c r="K7" s="10"/>
      <c r="L7" s="93"/>
      <c r="P7" s="10"/>
      <c r="Q7" s="10"/>
    </row>
    <row r="8" spans="1:24" ht="24.75" customHeight="1">
      <c r="A8" s="1"/>
      <c r="B8" s="2"/>
      <c r="C8" s="2"/>
      <c r="D8" s="3"/>
      <c r="E8" s="9"/>
      <c r="F8" s="174" t="s">
        <v>170</v>
      </c>
      <c r="G8" s="175"/>
      <c r="H8" s="175"/>
      <c r="I8" s="175"/>
      <c r="J8" s="175"/>
      <c r="K8" s="175"/>
      <c r="L8" s="175"/>
      <c r="M8" s="175"/>
      <c r="N8" s="175"/>
      <c r="O8" s="175"/>
      <c r="P8" s="175"/>
      <c r="Q8" s="176"/>
      <c r="S8" s="171" t="s">
        <v>252</v>
      </c>
      <c r="T8" s="172"/>
      <c r="U8" s="172"/>
      <c r="V8" s="172"/>
      <c r="W8" s="172"/>
      <c r="X8" s="173"/>
    </row>
    <row r="9" spans="1:24" ht="28.5" customHeight="1">
      <c r="A9" s="1"/>
      <c r="B9" s="2"/>
      <c r="C9" s="2"/>
      <c r="D9" s="3"/>
      <c r="E9" s="9"/>
      <c r="F9" s="182" t="s">
        <v>11</v>
      </c>
      <c r="G9" s="183"/>
      <c r="H9" s="183"/>
      <c r="I9" s="183"/>
      <c r="J9" s="183"/>
      <c r="K9" s="183"/>
      <c r="L9" s="184"/>
      <c r="M9" s="177" t="s">
        <v>12</v>
      </c>
      <c r="N9" s="178"/>
      <c r="O9" s="178"/>
      <c r="P9" s="178"/>
      <c r="Q9" s="179"/>
      <c r="S9" s="187" t="s">
        <v>11</v>
      </c>
      <c r="T9" s="188"/>
      <c r="U9" s="188"/>
      <c r="V9" s="188"/>
      <c r="W9" s="188"/>
      <c r="X9" s="189"/>
    </row>
    <row r="10" spans="1:26" ht="51" customHeight="1">
      <c r="A10" s="56"/>
      <c r="B10" s="57"/>
      <c r="C10" s="58"/>
      <c r="D10" s="59"/>
      <c r="E10" s="88" t="s">
        <v>1</v>
      </c>
      <c r="F10" s="180" t="s">
        <v>0</v>
      </c>
      <c r="G10" s="181"/>
      <c r="H10" s="26" t="s">
        <v>13</v>
      </c>
      <c r="I10" s="26" t="s">
        <v>14</v>
      </c>
      <c r="J10" s="22" t="s">
        <v>9</v>
      </c>
      <c r="K10" s="11" t="s">
        <v>2</v>
      </c>
      <c r="L10" s="28" t="s">
        <v>10</v>
      </c>
      <c r="M10" s="185" t="s">
        <v>0</v>
      </c>
      <c r="N10" s="186"/>
      <c r="O10" s="29" t="s">
        <v>9</v>
      </c>
      <c r="P10" s="28" t="s">
        <v>2</v>
      </c>
      <c r="Q10" s="28" t="s">
        <v>10</v>
      </c>
      <c r="R10" s="12"/>
      <c r="S10" s="104" t="s">
        <v>1</v>
      </c>
      <c r="T10" s="105" t="s">
        <v>253</v>
      </c>
      <c r="U10" s="105" t="s">
        <v>254</v>
      </c>
      <c r="V10" s="105" t="s">
        <v>256</v>
      </c>
      <c r="W10" s="22" t="s">
        <v>255</v>
      </c>
      <c r="X10" s="106" t="s">
        <v>10</v>
      </c>
      <c r="Y10" s="12"/>
      <c r="Z10" s="12"/>
    </row>
    <row r="11" spans="1:24" ht="12.75">
      <c r="A11" s="60"/>
      <c r="B11" s="61"/>
      <c r="C11" s="62"/>
      <c r="D11" s="63"/>
      <c r="E11" s="13"/>
      <c r="F11" s="14"/>
      <c r="G11" s="24"/>
      <c r="H11" s="27"/>
      <c r="I11" s="27"/>
      <c r="J11" s="19"/>
      <c r="K11" s="15"/>
      <c r="L11" s="94"/>
      <c r="M11" s="14"/>
      <c r="N11" s="24"/>
      <c r="O11" s="19"/>
      <c r="P11" s="15"/>
      <c r="Q11" s="30"/>
      <c r="S11" s="107"/>
      <c r="T11" s="108"/>
      <c r="U11" s="108"/>
      <c r="V11" s="108"/>
      <c r="W11" s="109"/>
      <c r="X11" s="24"/>
    </row>
    <row r="12" spans="1:24" ht="12.75">
      <c r="A12" s="60"/>
      <c r="B12" s="61"/>
      <c r="C12" s="64"/>
      <c r="D12" s="63"/>
      <c r="E12" s="38"/>
      <c r="F12" s="33"/>
      <c r="G12" s="34"/>
      <c r="H12" s="39"/>
      <c r="I12" s="39"/>
      <c r="J12" s="36">
        <f>IF(+I12+H12&gt;0,I12+(H12*labour),"")</f>
      </c>
      <c r="K12" s="37">
        <f aca="true" t="shared" si="0" ref="K12:K86">+IF(F12="item",J12,IF(F12&lt;&gt;0,F12*J12,""))</f>
      </c>
      <c r="L12" s="31"/>
      <c r="M12" s="33"/>
      <c r="N12" s="34"/>
      <c r="O12" s="36"/>
      <c r="P12" s="37">
        <f aca="true" t="shared" si="1" ref="P12:P89">+IF(M12="item",O12,IF(M12&lt;&gt;0,M12*O12,""))</f>
      </c>
      <c r="Q12" s="54"/>
      <c r="S12" s="110"/>
      <c r="T12" s="12"/>
      <c r="U12" s="12"/>
      <c r="V12" s="12"/>
      <c r="W12" s="19"/>
      <c r="X12" s="111"/>
    </row>
    <row r="13" spans="1:24" ht="15.75">
      <c r="A13" s="60"/>
      <c r="B13" s="61"/>
      <c r="C13" s="86"/>
      <c r="D13" s="87"/>
      <c r="E13" s="78" t="s">
        <v>83</v>
      </c>
      <c r="F13" s="79"/>
      <c r="G13" s="80"/>
      <c r="H13" s="81"/>
      <c r="I13" s="81"/>
      <c r="J13" s="82"/>
      <c r="K13" s="83"/>
      <c r="L13" s="84"/>
      <c r="M13" s="79"/>
      <c r="N13" s="80"/>
      <c r="O13" s="82"/>
      <c r="P13" s="83"/>
      <c r="Q13" s="85"/>
      <c r="S13" s="110"/>
      <c r="T13" s="12"/>
      <c r="U13" s="12"/>
      <c r="V13" s="12"/>
      <c r="W13" s="19"/>
      <c r="X13" s="111"/>
    </row>
    <row r="14" spans="1:24" ht="12.75">
      <c r="A14" s="60"/>
      <c r="B14" s="61"/>
      <c r="C14" s="64"/>
      <c r="D14" s="63"/>
      <c r="E14" s="38"/>
      <c r="F14" s="33"/>
      <c r="G14" s="34"/>
      <c r="H14" s="39"/>
      <c r="I14" s="39"/>
      <c r="J14" s="36"/>
      <c r="K14" s="37"/>
      <c r="L14" s="31"/>
      <c r="M14" s="33"/>
      <c r="N14" s="34"/>
      <c r="O14" s="36"/>
      <c r="P14" s="37"/>
      <c r="Q14" s="54"/>
      <c r="S14" s="110"/>
      <c r="T14" s="12"/>
      <c r="U14" s="12"/>
      <c r="V14" s="12"/>
      <c r="W14" s="19"/>
      <c r="X14" s="111"/>
    </row>
    <row r="15" spans="1:24" ht="12.75">
      <c r="A15" s="60"/>
      <c r="B15" s="61"/>
      <c r="C15" s="64"/>
      <c r="D15" s="63"/>
      <c r="E15" s="38"/>
      <c r="F15" s="33"/>
      <c r="G15" s="34"/>
      <c r="H15" s="39"/>
      <c r="I15" s="39"/>
      <c r="J15" s="36"/>
      <c r="K15" s="37"/>
      <c r="L15" s="31"/>
      <c r="M15" s="33"/>
      <c r="N15" s="34"/>
      <c r="O15" s="36"/>
      <c r="P15" s="37"/>
      <c r="Q15" s="54"/>
      <c r="S15" s="110"/>
      <c r="T15" s="12"/>
      <c r="U15" s="12"/>
      <c r="V15" s="12"/>
      <c r="W15" s="19"/>
      <c r="X15" s="111"/>
    </row>
    <row r="16" spans="1:24" ht="25.5" customHeight="1">
      <c r="A16" s="60"/>
      <c r="B16" s="61"/>
      <c r="C16" s="64"/>
      <c r="D16" s="63"/>
      <c r="E16" s="32" t="s">
        <v>84</v>
      </c>
      <c r="F16" s="33"/>
      <c r="G16" s="34"/>
      <c r="H16" s="39"/>
      <c r="I16" s="39"/>
      <c r="J16" s="36"/>
      <c r="K16" s="53">
        <f>SUM(K18:K25)</f>
        <v>1251.9088000000002</v>
      </c>
      <c r="L16" s="31" t="s">
        <v>44</v>
      </c>
      <c r="M16" s="33"/>
      <c r="N16" s="34"/>
      <c r="O16" s="36"/>
      <c r="P16" s="53">
        <f>SUM(P18:P25)</f>
        <v>776.9088</v>
      </c>
      <c r="Q16" s="54"/>
      <c r="S16" s="110"/>
      <c r="T16" s="12"/>
      <c r="U16" s="12"/>
      <c r="V16" s="12"/>
      <c r="W16" s="112">
        <f>SUM(W18:W25)</f>
        <v>21.189999999999998</v>
      </c>
      <c r="X16" s="111"/>
    </row>
    <row r="17" spans="1:24" ht="12.75" outlineLevel="1">
      <c r="A17" s="60"/>
      <c r="B17" s="61"/>
      <c r="C17" s="64"/>
      <c r="D17" s="63"/>
      <c r="E17" s="38"/>
      <c r="F17" s="33"/>
      <c r="G17" s="34"/>
      <c r="H17" s="39"/>
      <c r="I17" s="39"/>
      <c r="J17" s="36">
        <f aca="true" t="shared" si="2" ref="J17:J29">IF(+I17+H17&gt;0,I17+(H17*labour),"")</f>
      </c>
      <c r="K17" s="37"/>
      <c r="L17" s="31"/>
      <c r="M17" s="33"/>
      <c r="N17" s="34"/>
      <c r="O17" s="36"/>
      <c r="P17" s="37">
        <f t="shared" si="1"/>
      </c>
      <c r="Q17" s="54"/>
      <c r="S17" s="113" t="s">
        <v>257</v>
      </c>
      <c r="T17" s="12"/>
      <c r="U17" s="12"/>
      <c r="V17" s="12"/>
      <c r="W17" s="19"/>
      <c r="X17" s="111"/>
    </row>
    <row r="18" spans="1:24" ht="12.75" outlineLevel="1">
      <c r="A18" s="60"/>
      <c r="B18" s="61"/>
      <c r="C18" s="64"/>
      <c r="D18" s="63"/>
      <c r="E18" s="38" t="s">
        <v>38</v>
      </c>
      <c r="F18" s="33">
        <v>100</v>
      </c>
      <c r="G18" s="34" t="s">
        <v>35</v>
      </c>
      <c r="H18" s="39">
        <v>0.13</v>
      </c>
      <c r="I18" s="39">
        <f>space</f>
        <v>5.6784</v>
      </c>
      <c r="J18" s="36">
        <f t="shared" si="2"/>
        <v>9.5784</v>
      </c>
      <c r="K18" s="37">
        <f t="shared" si="0"/>
        <v>957.84</v>
      </c>
      <c r="L18" s="31" t="s">
        <v>39</v>
      </c>
      <c r="M18" s="33">
        <f>+F18</f>
        <v>100</v>
      </c>
      <c r="N18" s="34" t="s">
        <v>35</v>
      </c>
      <c r="O18" s="36">
        <f>space</f>
        <v>5.6784</v>
      </c>
      <c r="P18" s="37">
        <f t="shared" si="1"/>
        <v>567.84</v>
      </c>
      <c r="Q18" s="54" t="s">
        <v>39</v>
      </c>
      <c r="S18" s="110" t="str">
        <f>+E18</f>
        <v>150mm thick Spaceblanket</v>
      </c>
      <c r="T18" s="114">
        <f>+K18</f>
        <v>957.84</v>
      </c>
      <c r="U18" s="12"/>
      <c r="V18" s="12">
        <v>60</v>
      </c>
      <c r="W18" s="19">
        <f>ROUND(+IF(V18&gt;0,T18/V18,""),2)</f>
        <v>15.96</v>
      </c>
      <c r="X18" s="111"/>
    </row>
    <row r="19" spans="1:24" ht="12.75" outlineLevel="1">
      <c r="A19" s="60"/>
      <c r="B19" s="61"/>
      <c r="C19" s="64"/>
      <c r="D19" s="63"/>
      <c r="E19" s="38"/>
      <c r="F19" s="33"/>
      <c r="G19" s="34"/>
      <c r="H19" s="39"/>
      <c r="I19" s="39"/>
      <c r="J19" s="36">
        <f t="shared" si="2"/>
      </c>
      <c r="K19" s="37">
        <f t="shared" si="0"/>
      </c>
      <c r="L19" s="31"/>
      <c r="M19" s="33"/>
      <c r="N19" s="34"/>
      <c r="O19" s="36"/>
      <c r="P19" s="37">
        <f t="shared" si="1"/>
      </c>
      <c r="Q19" s="54"/>
      <c r="S19" s="110"/>
      <c r="T19" s="12"/>
      <c r="U19" s="12"/>
      <c r="V19" s="12"/>
      <c r="W19" s="19"/>
      <c r="X19" s="111"/>
    </row>
    <row r="20" spans="1:24" ht="12.75" outlineLevel="1">
      <c r="A20" s="60"/>
      <c r="B20" s="61"/>
      <c r="C20" s="64"/>
      <c r="D20" s="63"/>
      <c r="E20" s="38" t="s">
        <v>41</v>
      </c>
      <c r="F20" s="33">
        <v>40</v>
      </c>
      <c r="G20" s="34" t="s">
        <v>8</v>
      </c>
      <c r="H20" s="39">
        <v>0.05</v>
      </c>
      <c r="I20" s="39">
        <f>eavesvent</f>
        <v>4.35</v>
      </c>
      <c r="J20" s="36">
        <f t="shared" si="2"/>
        <v>5.85</v>
      </c>
      <c r="K20" s="37">
        <f t="shared" si="0"/>
        <v>234</v>
      </c>
      <c r="L20" s="31"/>
      <c r="M20" s="33">
        <f>+F20</f>
        <v>40</v>
      </c>
      <c r="N20" s="34" t="s">
        <v>8</v>
      </c>
      <c r="O20" s="36">
        <f>eavesvent</f>
        <v>4.35</v>
      </c>
      <c r="P20" s="37">
        <f t="shared" si="1"/>
        <v>174</v>
      </c>
      <c r="Q20" s="54"/>
      <c r="S20" s="110" t="str">
        <f>+E20</f>
        <v>Glidevale eaves ventilators RV 401</v>
      </c>
      <c r="T20" s="114">
        <f>+K20</f>
        <v>234</v>
      </c>
      <c r="U20" s="12"/>
      <c r="V20" s="12">
        <v>60</v>
      </c>
      <c r="W20" s="19">
        <f>ROUND(+IF(V20&gt;0,T20/V20,""),2)</f>
        <v>3.9</v>
      </c>
      <c r="X20" s="111"/>
    </row>
    <row r="21" spans="1:24" ht="12.75" outlineLevel="1">
      <c r="A21" s="60"/>
      <c r="B21" s="61"/>
      <c r="C21" s="64"/>
      <c r="D21" s="63"/>
      <c r="E21" s="38"/>
      <c r="F21" s="33"/>
      <c r="G21" s="34"/>
      <c r="H21" s="39"/>
      <c r="I21" s="39"/>
      <c r="J21" s="36">
        <f t="shared" si="2"/>
      </c>
      <c r="K21" s="37">
        <f t="shared" si="0"/>
      </c>
      <c r="L21" s="31"/>
      <c r="M21" s="33"/>
      <c r="N21" s="34"/>
      <c r="O21" s="36"/>
      <c r="P21" s="37">
        <f t="shared" si="1"/>
      </c>
      <c r="Q21" s="54"/>
      <c r="S21" s="110"/>
      <c r="T21" s="12"/>
      <c r="U21" s="12"/>
      <c r="V21" s="12"/>
      <c r="W21" s="19"/>
      <c r="X21" s="111"/>
    </row>
    <row r="22" spans="1:24" ht="12.75" outlineLevel="1">
      <c r="A22" s="60"/>
      <c r="B22" s="61"/>
      <c r="C22" s="64"/>
      <c r="D22" s="63"/>
      <c r="E22" s="38" t="s">
        <v>40</v>
      </c>
      <c r="F22" s="33" t="s">
        <v>1</v>
      </c>
      <c r="G22" s="34"/>
      <c r="H22" s="39"/>
      <c r="I22" s="39">
        <f>draughtdoor</f>
        <v>10.0688</v>
      </c>
      <c r="J22" s="36">
        <f t="shared" si="2"/>
        <v>10.0688</v>
      </c>
      <c r="K22" s="37">
        <f t="shared" si="0"/>
        <v>10.0688</v>
      </c>
      <c r="L22" s="31"/>
      <c r="M22" s="33" t="str">
        <f>+F22</f>
        <v>Item</v>
      </c>
      <c r="N22" s="34"/>
      <c r="O22" s="36">
        <f>+I22</f>
        <v>10.0688</v>
      </c>
      <c r="P22" s="37">
        <f t="shared" si="1"/>
        <v>10.0688</v>
      </c>
      <c r="Q22" s="54"/>
      <c r="S22" s="110" t="str">
        <f>+E22</f>
        <v>Pin on brush seals to loft hatch</v>
      </c>
      <c r="T22" s="114">
        <f>+K22</f>
        <v>10.0688</v>
      </c>
      <c r="U22" s="12"/>
      <c r="V22" s="12">
        <v>20</v>
      </c>
      <c r="W22" s="19">
        <f>ROUND(+IF(V22&gt;0,T22/V22,""),2)</f>
        <v>0.5</v>
      </c>
      <c r="X22" s="111"/>
    </row>
    <row r="23" spans="1:24" ht="12.75" outlineLevel="1">
      <c r="A23" s="60"/>
      <c r="B23" s="61"/>
      <c r="C23" s="64"/>
      <c r="D23" s="63"/>
      <c r="E23" s="38"/>
      <c r="F23" s="33"/>
      <c r="G23" s="34"/>
      <c r="H23" s="39"/>
      <c r="I23" s="39"/>
      <c r="J23" s="36">
        <f t="shared" si="2"/>
      </c>
      <c r="K23" s="37">
        <f t="shared" si="0"/>
      </c>
      <c r="L23" s="31"/>
      <c r="M23" s="33"/>
      <c r="N23" s="34"/>
      <c r="O23" s="36"/>
      <c r="P23" s="37">
        <f t="shared" si="1"/>
      </c>
      <c r="Q23" s="54"/>
      <c r="S23" s="110"/>
      <c r="T23" s="12"/>
      <c r="U23" s="12"/>
      <c r="V23" s="12"/>
      <c r="W23" s="19"/>
      <c r="X23" s="111"/>
    </row>
    <row r="24" spans="1:24" ht="12.75" outlineLevel="1">
      <c r="A24" s="60"/>
      <c r="B24" s="61"/>
      <c r="C24" s="64"/>
      <c r="D24" s="63"/>
      <c r="E24" s="38" t="s">
        <v>43</v>
      </c>
      <c r="F24" s="33" t="s">
        <v>1</v>
      </c>
      <c r="G24" s="34"/>
      <c r="H24" s="39"/>
      <c r="I24" s="39">
        <v>10</v>
      </c>
      <c r="J24" s="36">
        <v>50</v>
      </c>
      <c r="K24" s="37">
        <f t="shared" si="0"/>
        <v>50</v>
      </c>
      <c r="L24" s="31"/>
      <c r="M24" s="33" t="s">
        <v>1</v>
      </c>
      <c r="N24" s="34"/>
      <c r="O24" s="36">
        <v>25</v>
      </c>
      <c r="P24" s="37">
        <f t="shared" si="1"/>
        <v>25</v>
      </c>
      <c r="Q24" s="54"/>
      <c r="S24" s="110" t="str">
        <f>+E24</f>
        <v>Sundry materials</v>
      </c>
      <c r="T24" s="114">
        <f>+K24</f>
        <v>50</v>
      </c>
      <c r="U24" s="12"/>
      <c r="V24" s="12">
        <v>60</v>
      </c>
      <c r="W24" s="19">
        <f>ROUND(+IF(V24&gt;0,T24/V24,""),2)</f>
        <v>0.83</v>
      </c>
      <c r="X24" s="111"/>
    </row>
    <row r="25" spans="1:24" ht="12.75" outlineLevel="1">
      <c r="A25" s="60"/>
      <c r="B25" s="61"/>
      <c r="C25" s="64"/>
      <c r="D25" s="63"/>
      <c r="E25" s="38"/>
      <c r="F25" s="33"/>
      <c r="G25" s="34"/>
      <c r="H25" s="39"/>
      <c r="I25" s="39"/>
      <c r="J25" s="36">
        <f t="shared" si="2"/>
      </c>
      <c r="K25" s="37">
        <f t="shared" si="0"/>
      </c>
      <c r="L25" s="31"/>
      <c r="M25" s="33"/>
      <c r="N25" s="34"/>
      <c r="O25" s="36"/>
      <c r="P25" s="37">
        <f t="shared" si="1"/>
      </c>
      <c r="Q25" s="54"/>
      <c r="S25" s="110"/>
      <c r="T25" s="12"/>
      <c r="U25" s="12"/>
      <c r="V25" s="12"/>
      <c r="W25" s="19"/>
      <c r="X25" s="111"/>
    </row>
    <row r="26" spans="1:24" ht="12.75">
      <c r="A26" s="60"/>
      <c r="B26" s="61"/>
      <c r="C26" s="64"/>
      <c r="D26" s="63"/>
      <c r="E26" s="38"/>
      <c r="F26" s="33"/>
      <c r="G26" s="34"/>
      <c r="H26" s="39"/>
      <c r="I26" s="39"/>
      <c r="J26" s="36">
        <f t="shared" si="2"/>
      </c>
      <c r="K26" s="37"/>
      <c r="L26" s="31"/>
      <c r="M26" s="33"/>
      <c r="N26" s="34"/>
      <c r="O26" s="36"/>
      <c r="P26" s="37">
        <f t="shared" si="1"/>
      </c>
      <c r="Q26" s="54"/>
      <c r="S26" s="110"/>
      <c r="T26" s="12"/>
      <c r="U26" s="12"/>
      <c r="V26" s="12"/>
      <c r="W26" s="19"/>
      <c r="X26" s="111"/>
    </row>
    <row r="27" spans="1:24" ht="12.75">
      <c r="A27" s="60"/>
      <c r="B27" s="61"/>
      <c r="C27" s="64"/>
      <c r="D27" s="63"/>
      <c r="E27" s="32" t="s">
        <v>85</v>
      </c>
      <c r="F27" s="33"/>
      <c r="G27" s="34"/>
      <c r="H27" s="39"/>
      <c r="I27" s="39"/>
      <c r="J27" s="36">
        <f t="shared" si="2"/>
      </c>
      <c r="K27" s="53">
        <f>SUM(K29:K38)</f>
        <v>505.6464</v>
      </c>
      <c r="L27" s="31"/>
      <c r="M27" s="33"/>
      <c r="N27" s="34"/>
      <c r="O27" s="36"/>
      <c r="P27" s="53">
        <f>SUM(P29:P38)</f>
        <v>137.5776</v>
      </c>
      <c r="Q27" s="54"/>
      <c r="S27" s="110"/>
      <c r="T27" s="12"/>
      <c r="U27" s="12"/>
      <c r="V27" s="12"/>
      <c r="W27" s="112">
        <f>SUM(W29:W38)</f>
        <v>50.559999999999995</v>
      </c>
      <c r="X27" s="111"/>
    </row>
    <row r="28" spans="1:24" ht="12.75">
      <c r="A28" s="60"/>
      <c r="B28" s="61"/>
      <c r="C28" s="64"/>
      <c r="D28" s="63"/>
      <c r="E28" s="38"/>
      <c r="F28" s="33"/>
      <c r="G28" s="34"/>
      <c r="H28" s="39"/>
      <c r="I28" s="39"/>
      <c r="J28" s="36">
        <f t="shared" si="2"/>
      </c>
      <c r="K28" s="37">
        <f t="shared" si="0"/>
      </c>
      <c r="L28" s="31"/>
      <c r="M28" s="33"/>
      <c r="N28" s="34"/>
      <c r="O28" s="36"/>
      <c r="P28" s="37">
        <f t="shared" si="1"/>
      </c>
      <c r="Q28" s="54"/>
      <c r="S28" s="113" t="s">
        <v>257</v>
      </c>
      <c r="T28" s="12"/>
      <c r="U28" s="12"/>
      <c r="V28" s="12"/>
      <c r="W28" s="19"/>
      <c r="X28" s="111"/>
    </row>
    <row r="29" spans="1:24" ht="38.25" outlineLevel="1">
      <c r="A29" s="60"/>
      <c r="B29" s="61"/>
      <c r="C29" s="64"/>
      <c r="D29" s="63"/>
      <c r="E29" s="38" t="s">
        <v>29</v>
      </c>
      <c r="F29" s="33">
        <v>11</v>
      </c>
      <c r="G29" s="34" t="s">
        <v>8</v>
      </c>
      <c r="H29" s="39">
        <v>1</v>
      </c>
      <c r="I29" s="39">
        <f>8*1</f>
        <v>8</v>
      </c>
      <c r="J29" s="36">
        <f t="shared" si="2"/>
        <v>38</v>
      </c>
      <c r="K29" s="37">
        <f t="shared" si="0"/>
        <v>418</v>
      </c>
      <c r="L29" s="31" t="s">
        <v>28</v>
      </c>
      <c r="M29" s="33">
        <v>11</v>
      </c>
      <c r="N29" s="34" t="s">
        <v>8</v>
      </c>
      <c r="O29" s="36">
        <f>+I29</f>
        <v>8</v>
      </c>
      <c r="P29" s="37">
        <f t="shared" si="1"/>
        <v>88</v>
      </c>
      <c r="Q29" s="54" t="s">
        <v>28</v>
      </c>
      <c r="S29" s="110" t="str">
        <f>+E29</f>
        <v>Pin on brush strips and rubber seals</v>
      </c>
      <c r="T29" s="114">
        <f>+K29</f>
        <v>418</v>
      </c>
      <c r="U29" s="12"/>
      <c r="V29" s="12">
        <v>10</v>
      </c>
      <c r="W29" s="19">
        <f>ROUND(+IF(V29&gt;0,T29/V29,""),2)</f>
        <v>41.8</v>
      </c>
      <c r="X29" s="111"/>
    </row>
    <row r="30" spans="1:24" ht="12.75" outlineLevel="1">
      <c r="A30" s="60"/>
      <c r="B30" s="61"/>
      <c r="C30" s="64"/>
      <c r="D30" s="63"/>
      <c r="E30" s="38"/>
      <c r="F30" s="33"/>
      <c r="G30" s="34"/>
      <c r="H30" s="39"/>
      <c r="I30" s="39"/>
      <c r="J30" s="36"/>
      <c r="K30" s="37"/>
      <c r="L30" s="31"/>
      <c r="M30" s="33"/>
      <c r="N30" s="34"/>
      <c r="O30" s="36"/>
      <c r="P30" s="37"/>
      <c r="Q30" s="54"/>
      <c r="S30" s="110"/>
      <c r="T30" s="12"/>
      <c r="U30" s="12"/>
      <c r="V30" s="12"/>
      <c r="W30" s="19"/>
      <c r="X30" s="111"/>
    </row>
    <row r="31" spans="1:24" ht="12.75" outlineLevel="1">
      <c r="A31" s="60"/>
      <c r="B31" s="61"/>
      <c r="C31" s="64"/>
      <c r="D31" s="63"/>
      <c r="E31" s="38" t="s">
        <v>23</v>
      </c>
      <c r="F31" s="33" t="s">
        <v>1</v>
      </c>
      <c r="G31" s="34"/>
      <c r="H31" s="39"/>
      <c r="I31" s="39">
        <v>25</v>
      </c>
      <c r="J31" s="36">
        <f aca="true" t="shared" si="3" ref="J31:J40">IF(+I31+H31&gt;0,I31+(H31*labour),"")</f>
        <v>25</v>
      </c>
      <c r="K31" s="37">
        <f t="shared" si="0"/>
        <v>25</v>
      </c>
      <c r="L31" s="31" t="s">
        <v>31</v>
      </c>
      <c r="M31" s="33">
        <v>1</v>
      </c>
      <c r="N31" s="34" t="s">
        <v>8</v>
      </c>
      <c r="O31" s="36">
        <v>25</v>
      </c>
      <c r="P31" s="37">
        <f t="shared" si="1"/>
        <v>25</v>
      </c>
      <c r="Q31" s="54" t="s">
        <v>31</v>
      </c>
      <c r="S31" s="110" t="str">
        <f>+E31</f>
        <v>Sundry consumables/ materials</v>
      </c>
      <c r="T31" s="114">
        <f>+K31</f>
        <v>25</v>
      </c>
      <c r="U31" s="12"/>
      <c r="V31" s="12">
        <v>10</v>
      </c>
      <c r="W31" s="19">
        <f>ROUND(+IF(V31&gt;0,T31/V31,""),2)</f>
        <v>2.5</v>
      </c>
      <c r="X31" s="111"/>
    </row>
    <row r="32" spans="1:24" ht="12.75" outlineLevel="1">
      <c r="A32" s="60"/>
      <c r="B32" s="61"/>
      <c r="C32" s="64"/>
      <c r="D32" s="65"/>
      <c r="E32" s="38"/>
      <c r="F32" s="33"/>
      <c r="G32" s="34"/>
      <c r="H32" s="39"/>
      <c r="I32" s="39"/>
      <c r="J32" s="36">
        <f t="shared" si="3"/>
      </c>
      <c r="K32" s="37">
        <f t="shared" si="0"/>
      </c>
      <c r="L32" s="31"/>
      <c r="M32" s="33"/>
      <c r="N32" s="34"/>
      <c r="O32" s="36"/>
      <c r="P32" s="37">
        <f t="shared" si="1"/>
      </c>
      <c r="Q32" s="54"/>
      <c r="S32" s="110"/>
      <c r="T32" s="12"/>
      <c r="U32" s="12"/>
      <c r="V32" s="12"/>
      <c r="W32" s="19"/>
      <c r="X32" s="111"/>
    </row>
    <row r="33" spans="1:24" ht="12.75" outlineLevel="1">
      <c r="A33" s="60"/>
      <c r="B33" s="61"/>
      <c r="C33" s="64"/>
      <c r="D33" s="63"/>
      <c r="E33" s="38" t="s">
        <v>26</v>
      </c>
      <c r="F33" s="33">
        <v>2</v>
      </c>
      <c r="G33" s="34" t="s">
        <v>8</v>
      </c>
      <c r="H33" s="39">
        <v>0.5</v>
      </c>
      <c r="I33" s="39">
        <f>draughtdoor</f>
        <v>10.0688</v>
      </c>
      <c r="J33" s="36">
        <f t="shared" si="3"/>
        <v>25.0688</v>
      </c>
      <c r="K33" s="37">
        <f t="shared" si="0"/>
        <v>50.1376</v>
      </c>
      <c r="L33" s="69"/>
      <c r="M33" s="33">
        <v>1</v>
      </c>
      <c r="N33" s="34" t="s">
        <v>8</v>
      </c>
      <c r="O33" s="36">
        <f>draughtdoor</f>
        <v>10.0688</v>
      </c>
      <c r="P33" s="37">
        <f t="shared" si="1"/>
        <v>10.0688</v>
      </c>
      <c r="Q33" s="96"/>
      <c r="S33" s="110" t="str">
        <f>+E33</f>
        <v>Pin on brush seal; head and jambs</v>
      </c>
      <c r="T33" s="114">
        <f>+K33</f>
        <v>50.1376</v>
      </c>
      <c r="U33" s="12"/>
      <c r="V33" s="12">
        <v>10</v>
      </c>
      <c r="W33" s="19">
        <f>ROUND(+IF(V33&gt;0,T33/V33,""),2)</f>
        <v>5.01</v>
      </c>
      <c r="X33" s="111"/>
    </row>
    <row r="34" spans="1:24" ht="12.75" outlineLevel="1">
      <c r="A34" s="60"/>
      <c r="B34" s="61"/>
      <c r="C34" s="64"/>
      <c r="D34" s="63"/>
      <c r="E34" s="38"/>
      <c r="F34" s="33"/>
      <c r="G34" s="34"/>
      <c r="H34" s="39"/>
      <c r="I34" s="39"/>
      <c r="J34" s="36">
        <f t="shared" si="3"/>
      </c>
      <c r="K34" s="37">
        <f t="shared" si="0"/>
      </c>
      <c r="L34" s="31"/>
      <c r="M34" s="33"/>
      <c r="N34" s="34"/>
      <c r="O34" s="36"/>
      <c r="P34" s="37">
        <f t="shared" si="1"/>
      </c>
      <c r="Q34" s="54"/>
      <c r="S34" s="110"/>
      <c r="T34" s="12"/>
      <c r="U34" s="12"/>
      <c r="V34" s="12"/>
      <c r="W34" s="19"/>
      <c r="X34" s="111"/>
    </row>
    <row r="35" spans="1:24" ht="12.75" outlineLevel="1">
      <c r="A35" s="60"/>
      <c r="B35" s="61"/>
      <c r="C35" s="64"/>
      <c r="D35" s="63"/>
      <c r="E35" s="38" t="s">
        <v>27</v>
      </c>
      <c r="F35" s="33">
        <v>1</v>
      </c>
      <c r="G35" s="34" t="s">
        <v>8</v>
      </c>
      <c r="H35" s="39">
        <v>0.1</v>
      </c>
      <c r="I35" s="39">
        <f>thresholdbrush</f>
        <v>9.5088</v>
      </c>
      <c r="J35" s="36">
        <f t="shared" si="3"/>
        <v>12.5088</v>
      </c>
      <c r="K35" s="37">
        <f t="shared" si="0"/>
        <v>12.5088</v>
      </c>
      <c r="L35" s="69"/>
      <c r="M35" s="33">
        <v>1</v>
      </c>
      <c r="N35" s="34" t="s">
        <v>8</v>
      </c>
      <c r="O35" s="39">
        <f>thresholdbrush</f>
        <v>9.5088</v>
      </c>
      <c r="P35" s="37">
        <f>+IF(M35="item",O35,IF(M35&lt;&gt;0,M35*O35,""))</f>
        <v>9.5088</v>
      </c>
      <c r="Q35" s="96"/>
      <c r="S35" s="110" t="str">
        <f>+E35</f>
        <v>Pin on bottom brush strip</v>
      </c>
      <c r="T35" s="114">
        <f>+K35</f>
        <v>12.5088</v>
      </c>
      <c r="U35" s="12"/>
      <c r="V35" s="12">
        <v>10</v>
      </c>
      <c r="W35" s="19">
        <f>ROUND(+IF(V35&gt;0,T35/V35,""),2)</f>
        <v>1.25</v>
      </c>
      <c r="X35" s="111"/>
    </row>
    <row r="36" spans="1:24" ht="12.75" outlineLevel="1">
      <c r="A36" s="60"/>
      <c r="B36" s="61"/>
      <c r="C36" s="64"/>
      <c r="D36" s="63"/>
      <c r="E36" s="38"/>
      <c r="F36" s="33"/>
      <c r="G36" s="34"/>
      <c r="H36" s="39"/>
      <c r="I36" s="39"/>
      <c r="J36" s="36">
        <f t="shared" si="3"/>
      </c>
      <c r="K36" s="37">
        <f t="shared" si="0"/>
      </c>
      <c r="L36" s="31"/>
      <c r="M36" s="33"/>
      <c r="N36" s="34"/>
      <c r="O36" s="36"/>
      <c r="P36" s="37">
        <f t="shared" si="1"/>
      </c>
      <c r="Q36" s="54"/>
      <c r="S36" s="110"/>
      <c r="T36" s="12"/>
      <c r="U36" s="12"/>
      <c r="V36" s="12"/>
      <c r="W36" s="19"/>
      <c r="X36" s="111"/>
    </row>
    <row r="37" spans="1:24" ht="12.75" outlineLevel="1">
      <c r="A37" s="60"/>
      <c r="B37" s="61"/>
      <c r="C37" s="64"/>
      <c r="D37" s="63"/>
      <c r="E37" s="38" t="s">
        <v>30</v>
      </c>
      <c r="F37" s="33"/>
      <c r="G37" s="34"/>
      <c r="H37" s="39"/>
      <c r="I37" s="39"/>
      <c r="J37" s="36">
        <f t="shared" si="3"/>
      </c>
      <c r="K37" s="37">
        <f t="shared" si="0"/>
      </c>
      <c r="L37" s="31"/>
      <c r="M37" s="33" t="s">
        <v>1</v>
      </c>
      <c r="N37" s="34"/>
      <c r="O37" s="36">
        <v>5</v>
      </c>
      <c r="P37" s="37">
        <f t="shared" si="1"/>
        <v>5</v>
      </c>
      <c r="Q37" s="54"/>
      <c r="S37" s="110" t="str">
        <f>+E37</f>
        <v>Delivery intrnet sourced materials</v>
      </c>
      <c r="T37" s="114">
        <f>+K37</f>
      </c>
      <c r="U37" s="12"/>
      <c r="V37" s="12"/>
      <c r="W37" s="19"/>
      <c r="X37" s="111"/>
    </row>
    <row r="38" spans="1:24" ht="12.75" outlineLevel="1">
      <c r="A38" s="60"/>
      <c r="B38" s="61"/>
      <c r="C38" s="64"/>
      <c r="D38" s="63"/>
      <c r="E38" s="38"/>
      <c r="F38" s="33"/>
      <c r="G38" s="34"/>
      <c r="H38" s="39"/>
      <c r="I38" s="39"/>
      <c r="J38" s="36">
        <f t="shared" si="3"/>
      </c>
      <c r="K38" s="37">
        <f t="shared" si="0"/>
      </c>
      <c r="L38" s="31"/>
      <c r="M38" s="33"/>
      <c r="N38" s="34"/>
      <c r="O38" s="36"/>
      <c r="P38" s="37">
        <f t="shared" si="1"/>
      </c>
      <c r="Q38" s="54"/>
      <c r="S38" s="110"/>
      <c r="T38" s="12"/>
      <c r="U38" s="12"/>
      <c r="V38" s="12"/>
      <c r="W38" s="19"/>
      <c r="X38" s="111"/>
    </row>
    <row r="39" spans="1:24" ht="12.75" outlineLevel="1">
      <c r="A39" s="60"/>
      <c r="B39" s="61"/>
      <c r="C39" s="64"/>
      <c r="D39" s="63"/>
      <c r="E39" s="38"/>
      <c r="F39" s="33"/>
      <c r="G39" s="34"/>
      <c r="H39" s="39"/>
      <c r="I39" s="39"/>
      <c r="J39" s="36">
        <f t="shared" si="3"/>
      </c>
      <c r="K39" s="37">
        <f t="shared" si="0"/>
      </c>
      <c r="L39" s="31"/>
      <c r="M39" s="33"/>
      <c r="N39" s="34"/>
      <c r="O39" s="36"/>
      <c r="P39" s="37">
        <f t="shared" si="1"/>
      </c>
      <c r="Q39" s="54"/>
      <c r="S39" s="110"/>
      <c r="T39" s="12"/>
      <c r="U39" s="12"/>
      <c r="V39" s="12"/>
      <c r="W39" s="19"/>
      <c r="X39" s="111"/>
    </row>
    <row r="40" spans="1:24" ht="12.75">
      <c r="A40" s="60"/>
      <c r="B40" s="61"/>
      <c r="C40" s="64"/>
      <c r="D40" s="63"/>
      <c r="E40" s="38"/>
      <c r="F40" s="33"/>
      <c r="G40" s="34"/>
      <c r="H40" s="39"/>
      <c r="I40" s="39"/>
      <c r="J40" s="36">
        <f t="shared" si="3"/>
      </c>
      <c r="K40" s="37">
        <f t="shared" si="0"/>
      </c>
      <c r="L40" s="31"/>
      <c r="M40" s="33"/>
      <c r="N40" s="34"/>
      <c r="O40" s="36"/>
      <c r="P40" s="37">
        <f t="shared" si="1"/>
      </c>
      <c r="Q40" s="54"/>
      <c r="S40" s="110"/>
      <c r="T40" s="12"/>
      <c r="U40" s="12"/>
      <c r="V40" s="12"/>
      <c r="W40" s="19"/>
      <c r="X40" s="111"/>
    </row>
    <row r="41" spans="1:24" ht="12.75">
      <c r="A41" s="60"/>
      <c r="B41" s="61"/>
      <c r="C41" s="64"/>
      <c r="D41" s="63"/>
      <c r="E41" s="32" t="s">
        <v>86</v>
      </c>
      <c r="F41" s="33"/>
      <c r="G41" s="34"/>
      <c r="H41" s="35"/>
      <c r="I41" s="35"/>
      <c r="J41" s="36"/>
      <c r="K41" s="53">
        <f>SUM(K43:K48)</f>
        <v>127.08000000000004</v>
      </c>
      <c r="L41" s="31"/>
      <c r="M41" s="33"/>
      <c r="N41" s="34"/>
      <c r="O41" s="36"/>
      <c r="P41" s="53">
        <f>SUM(P43:P48)</f>
        <v>94.08000000000001</v>
      </c>
      <c r="Q41" s="54"/>
      <c r="S41" s="110"/>
      <c r="T41" s="12"/>
      <c r="U41" s="12"/>
      <c r="V41" s="12"/>
      <c r="W41" s="112">
        <f>SUM(W43:W47)</f>
        <v>12.71</v>
      </c>
      <c r="X41" s="111"/>
    </row>
    <row r="42" spans="1:24" ht="12.75">
      <c r="A42" s="60"/>
      <c r="B42" s="61"/>
      <c r="C42" s="64"/>
      <c r="D42" s="63"/>
      <c r="E42" s="32"/>
      <c r="F42" s="33"/>
      <c r="G42" s="34"/>
      <c r="H42" s="35"/>
      <c r="I42" s="35"/>
      <c r="J42" s="36"/>
      <c r="K42" s="37">
        <f>+IF(F42="item",J42,IF(F42&lt;&gt;0,F42*J42,""))</f>
      </c>
      <c r="L42" s="31"/>
      <c r="M42" s="33"/>
      <c r="N42" s="34"/>
      <c r="O42" s="36"/>
      <c r="P42" s="37"/>
      <c r="Q42" s="54"/>
      <c r="S42" s="110"/>
      <c r="T42" s="12"/>
      <c r="U42" s="12"/>
      <c r="V42" s="12"/>
      <c r="W42" s="19"/>
      <c r="X42" s="111"/>
    </row>
    <row r="43" spans="1:24" ht="38.25" outlineLevel="1">
      <c r="A43" s="60"/>
      <c r="B43" s="61"/>
      <c r="C43" s="64"/>
      <c r="D43" s="63"/>
      <c r="E43" s="38" t="s">
        <v>17</v>
      </c>
      <c r="F43" s="33"/>
      <c r="G43" s="34"/>
      <c r="H43" s="35"/>
      <c r="I43" s="35"/>
      <c r="J43" s="36"/>
      <c r="K43" s="37"/>
      <c r="L43" s="54" t="s">
        <v>22</v>
      </c>
      <c r="M43" s="33"/>
      <c r="N43" s="34"/>
      <c r="O43" s="36"/>
      <c r="P43" s="37"/>
      <c r="Q43" s="54" t="s">
        <v>22</v>
      </c>
      <c r="S43" s="110"/>
      <c r="T43" s="12"/>
      <c r="U43" s="12"/>
      <c r="V43" s="12"/>
      <c r="W43" s="19"/>
      <c r="X43" s="111"/>
    </row>
    <row r="44" spans="1:24" ht="12.75" outlineLevel="1">
      <c r="A44" s="60"/>
      <c r="B44" s="61"/>
      <c r="C44" s="64"/>
      <c r="D44" s="63"/>
      <c r="E44" s="32"/>
      <c r="F44" s="33"/>
      <c r="G44" s="34"/>
      <c r="H44" s="35"/>
      <c r="I44" s="35"/>
      <c r="J44" s="36"/>
      <c r="K44" s="37"/>
      <c r="L44" s="31"/>
      <c r="M44" s="33"/>
      <c r="N44" s="34"/>
      <c r="O44" s="36"/>
      <c r="P44" s="37"/>
      <c r="Q44" s="54"/>
      <c r="S44" s="113" t="s">
        <v>257</v>
      </c>
      <c r="T44" s="12"/>
      <c r="U44" s="12"/>
      <c r="V44" s="12"/>
      <c r="W44" s="19"/>
      <c r="X44" s="111"/>
    </row>
    <row r="45" spans="1:24" ht="38.25" outlineLevel="1">
      <c r="A45" s="60"/>
      <c r="B45" s="61"/>
      <c r="C45" s="64"/>
      <c r="D45" s="63"/>
      <c r="E45" s="52" t="s">
        <v>18</v>
      </c>
      <c r="F45" s="33">
        <v>16</v>
      </c>
      <c r="G45" s="34" t="s">
        <v>8</v>
      </c>
      <c r="H45" s="39">
        <v>0.05</v>
      </c>
      <c r="I45" s="39">
        <f>bulb</f>
        <v>3.3600000000000008</v>
      </c>
      <c r="J45" s="36">
        <f aca="true" t="shared" si="4" ref="J45:J63">IF(+I45+H45&gt;0,I45+(H45*labour),"")</f>
        <v>4.860000000000001</v>
      </c>
      <c r="K45" s="37">
        <f>+IF(F45="item",J45,IF(F45&lt;&gt;0,F45*J45,""))</f>
        <v>77.76000000000002</v>
      </c>
      <c r="L45" s="31" t="s">
        <v>21</v>
      </c>
      <c r="M45" s="33">
        <f>+F45</f>
        <v>16</v>
      </c>
      <c r="N45" s="34" t="s">
        <v>8</v>
      </c>
      <c r="O45" s="36">
        <f>bulb</f>
        <v>3.3600000000000008</v>
      </c>
      <c r="P45" s="37">
        <f>+IF(M45="item",O45,IF(M45&lt;&gt;0,M45*O45,""))</f>
        <v>53.76000000000001</v>
      </c>
      <c r="Q45" s="54" t="s">
        <v>21</v>
      </c>
      <c r="S45" s="110" t="str">
        <f>+E45</f>
        <v>Pendants/ standard and table lamps</v>
      </c>
      <c r="T45" s="114">
        <f>+K45</f>
        <v>77.76000000000002</v>
      </c>
      <c r="U45" s="12"/>
      <c r="V45" s="12">
        <v>10</v>
      </c>
      <c r="W45" s="19">
        <f>ROUND(+IF(V45&gt;0,T45/V45,""),2)</f>
        <v>7.78</v>
      </c>
      <c r="X45" s="111"/>
    </row>
    <row r="46" spans="1:24" ht="12.75" outlineLevel="1">
      <c r="A46" s="60"/>
      <c r="B46" s="61"/>
      <c r="C46" s="64"/>
      <c r="D46" s="63"/>
      <c r="E46" s="52"/>
      <c r="F46" s="33"/>
      <c r="G46" s="34"/>
      <c r="H46" s="39"/>
      <c r="I46" s="39"/>
      <c r="J46" s="36"/>
      <c r="K46" s="37"/>
      <c r="L46" s="31"/>
      <c r="M46" s="33"/>
      <c r="N46" s="34"/>
      <c r="O46" s="36"/>
      <c r="P46" s="37"/>
      <c r="Q46" s="54"/>
      <c r="S46" s="110"/>
      <c r="T46" s="114"/>
      <c r="U46" s="12"/>
      <c r="V46" s="12"/>
      <c r="W46" s="19"/>
      <c r="X46" s="111"/>
    </row>
    <row r="47" spans="1:24" ht="12.75" outlineLevel="1">
      <c r="A47" s="60"/>
      <c r="B47" s="61"/>
      <c r="C47" s="64"/>
      <c r="D47" s="63"/>
      <c r="E47" s="52" t="s">
        <v>19</v>
      </c>
      <c r="F47" s="33">
        <v>6</v>
      </c>
      <c r="G47" s="34" t="s">
        <v>8</v>
      </c>
      <c r="H47" s="39">
        <v>0.05</v>
      </c>
      <c r="I47" s="39">
        <f>spot</f>
        <v>6.7200000000000015</v>
      </c>
      <c r="J47" s="36">
        <f t="shared" si="4"/>
        <v>8.220000000000002</v>
      </c>
      <c r="K47" s="37">
        <f>+IF(F47="item",J47,IF(F47&lt;&gt;0,F47*J47,""))</f>
        <v>49.320000000000014</v>
      </c>
      <c r="L47" s="31" t="s">
        <v>20</v>
      </c>
      <c r="M47" s="33">
        <f>+F47</f>
        <v>6</v>
      </c>
      <c r="N47" s="34" t="s">
        <v>8</v>
      </c>
      <c r="O47" s="36">
        <f>spot</f>
        <v>6.7200000000000015</v>
      </c>
      <c r="P47" s="37">
        <f>+IF(M47="item",O47,IF(M47&lt;&gt;0,M47*O47,""))</f>
        <v>40.32000000000001</v>
      </c>
      <c r="Q47" s="54" t="s">
        <v>20</v>
      </c>
      <c r="S47" s="110" t="str">
        <f>+E47</f>
        <v>GU10 spot lamps</v>
      </c>
      <c r="T47" s="114">
        <f>+K47</f>
        <v>49.320000000000014</v>
      </c>
      <c r="U47" s="12"/>
      <c r="V47" s="12">
        <v>10</v>
      </c>
      <c r="W47" s="19">
        <f>ROUND(+IF(V47&gt;0,T47/V47,""),2)</f>
        <v>4.93</v>
      </c>
      <c r="X47" s="111"/>
    </row>
    <row r="48" spans="1:24" ht="12.75" outlineLevel="1">
      <c r="A48" s="60"/>
      <c r="B48" s="61"/>
      <c r="C48" s="64"/>
      <c r="D48" s="63"/>
      <c r="E48" s="38"/>
      <c r="F48" s="33"/>
      <c r="G48" s="34"/>
      <c r="H48" s="39"/>
      <c r="I48" s="39"/>
      <c r="J48" s="36">
        <f t="shared" si="4"/>
      </c>
      <c r="K48" s="37">
        <f>+IF(F48="item",J48,IF(F48&lt;&gt;0,F48*J48,""))</f>
      </c>
      <c r="L48" s="31"/>
      <c r="M48" s="33"/>
      <c r="N48" s="34"/>
      <c r="O48" s="36"/>
      <c r="P48" s="37">
        <f>+IF(M48="item",O48,IF(M48&lt;&gt;0,M48*O48,""))</f>
      </c>
      <c r="Q48" s="54"/>
      <c r="S48" s="110"/>
      <c r="T48" s="114"/>
      <c r="U48" s="12"/>
      <c r="V48" s="12"/>
      <c r="W48" s="19"/>
      <c r="X48" s="111"/>
    </row>
    <row r="49" spans="1:24" ht="12.75">
      <c r="A49" s="60"/>
      <c r="B49" s="61"/>
      <c r="C49" s="64"/>
      <c r="D49" s="63"/>
      <c r="E49" s="38"/>
      <c r="F49" s="33"/>
      <c r="G49" s="34"/>
      <c r="H49" s="39"/>
      <c r="I49" s="39"/>
      <c r="J49" s="36">
        <f t="shared" si="4"/>
      </c>
      <c r="K49" s="37">
        <f t="shared" si="0"/>
      </c>
      <c r="L49" s="31"/>
      <c r="M49" s="33"/>
      <c r="N49" s="34"/>
      <c r="O49" s="36"/>
      <c r="P49" s="37">
        <f t="shared" si="1"/>
      </c>
      <c r="Q49" s="54"/>
      <c r="S49" s="110"/>
      <c r="T49" s="12"/>
      <c r="U49" s="12"/>
      <c r="V49" s="12"/>
      <c r="W49" s="19"/>
      <c r="X49" s="111"/>
    </row>
    <row r="50" spans="1:24" ht="39" customHeight="1">
      <c r="A50" s="60"/>
      <c r="B50" s="61"/>
      <c r="C50" s="64"/>
      <c r="D50" s="63"/>
      <c r="E50" s="32" t="s">
        <v>87</v>
      </c>
      <c r="F50" s="33"/>
      <c r="G50" s="34"/>
      <c r="H50" s="39"/>
      <c r="I50" s="39"/>
      <c r="J50" s="36">
        <f t="shared" si="4"/>
      </c>
      <c r="K50" s="53">
        <f>SUM(K52:K59)</f>
        <v>1833.584375</v>
      </c>
      <c r="L50" s="31" t="s">
        <v>54</v>
      </c>
      <c r="M50" s="72"/>
      <c r="N50" s="73"/>
      <c r="O50" s="74"/>
      <c r="P50" s="75">
        <f t="shared" si="1"/>
      </c>
      <c r="Q50" s="76"/>
      <c r="S50" s="110"/>
      <c r="T50" s="12"/>
      <c r="U50" s="12"/>
      <c r="V50" s="12"/>
      <c r="W50" s="112">
        <f>SUM(W51:W59)</f>
        <v>57.019999999999996</v>
      </c>
      <c r="X50" s="111"/>
    </row>
    <row r="51" spans="1:24" ht="12.75" outlineLevel="1">
      <c r="A51" s="60"/>
      <c r="B51" s="61"/>
      <c r="C51" s="64"/>
      <c r="D51" s="63"/>
      <c r="E51" s="38"/>
      <c r="F51" s="33"/>
      <c r="G51" s="34"/>
      <c r="H51" s="39"/>
      <c r="I51" s="39"/>
      <c r="J51" s="36">
        <f t="shared" si="4"/>
      </c>
      <c r="K51" s="37">
        <f t="shared" si="0"/>
      </c>
      <c r="L51" s="31"/>
      <c r="M51" s="72"/>
      <c r="N51" s="73"/>
      <c r="O51" s="74"/>
      <c r="P51" s="75">
        <f t="shared" si="1"/>
      </c>
      <c r="Q51" s="76"/>
      <c r="S51" s="113" t="s">
        <v>257</v>
      </c>
      <c r="T51" s="12"/>
      <c r="U51" s="12"/>
      <c r="V51" s="12"/>
      <c r="W51" s="19"/>
      <c r="X51" s="111"/>
    </row>
    <row r="52" spans="1:24" ht="25.5" outlineLevel="1">
      <c r="A52" s="60"/>
      <c r="B52" s="61"/>
      <c r="C52" s="64"/>
      <c r="D52" s="65"/>
      <c r="E52" s="38" t="s">
        <v>51</v>
      </c>
      <c r="F52" s="33">
        <v>1</v>
      </c>
      <c r="G52" s="34" t="s">
        <v>8</v>
      </c>
      <c r="H52" s="39">
        <v>3</v>
      </c>
      <c r="I52" s="39">
        <f>prog</f>
        <v>73.70812499999998</v>
      </c>
      <c r="J52" s="36">
        <f t="shared" si="4"/>
        <v>163.708125</v>
      </c>
      <c r="K52" s="37">
        <f t="shared" si="0"/>
        <v>163.708125</v>
      </c>
      <c r="L52" s="31" t="s">
        <v>258</v>
      </c>
      <c r="M52" s="72"/>
      <c r="N52" s="73"/>
      <c r="O52" s="74"/>
      <c r="P52" s="75">
        <f t="shared" si="1"/>
      </c>
      <c r="Q52" s="76"/>
      <c r="S52" s="110" t="str">
        <f>+E52</f>
        <v>Two zone heating controller</v>
      </c>
      <c r="T52" s="114">
        <f>+K52</f>
        <v>163.708125</v>
      </c>
      <c r="U52" s="12"/>
      <c r="V52" s="12">
        <v>20</v>
      </c>
      <c r="W52" s="19">
        <f>ROUND(+IF(V52&gt;0,T52/V52,""),2)</f>
        <v>8.19</v>
      </c>
      <c r="X52" s="111"/>
    </row>
    <row r="53" spans="1:24" ht="12.75" outlineLevel="1">
      <c r="A53" s="60"/>
      <c r="B53" s="61"/>
      <c r="C53" s="64"/>
      <c r="D53" s="63"/>
      <c r="E53" s="38"/>
      <c r="F53" s="33"/>
      <c r="G53" s="34"/>
      <c r="H53" s="39"/>
      <c r="I53" s="39"/>
      <c r="J53" s="36">
        <f t="shared" si="4"/>
      </c>
      <c r="K53" s="37">
        <f t="shared" si="0"/>
      </c>
      <c r="L53" s="31"/>
      <c r="M53" s="72"/>
      <c r="N53" s="73"/>
      <c r="O53" s="74"/>
      <c r="P53" s="75">
        <f t="shared" si="1"/>
      </c>
      <c r="Q53" s="76"/>
      <c r="S53" s="110"/>
      <c r="T53" s="12"/>
      <c r="U53" s="12"/>
      <c r="V53" s="12"/>
      <c r="W53" s="19"/>
      <c r="X53" s="111"/>
    </row>
    <row r="54" spans="1:24" ht="12.75" outlineLevel="1">
      <c r="A54" s="60"/>
      <c r="B54" s="61"/>
      <c r="C54" s="64"/>
      <c r="D54" s="63"/>
      <c r="E54" s="38" t="s">
        <v>52</v>
      </c>
      <c r="F54" s="33">
        <v>9</v>
      </c>
      <c r="G54" s="34" t="s">
        <v>8</v>
      </c>
      <c r="H54" s="39">
        <v>0.5</v>
      </c>
      <c r="I54" s="39">
        <f>TRV</f>
        <v>11.66125</v>
      </c>
      <c r="J54" s="36">
        <f t="shared" si="4"/>
        <v>26.661250000000003</v>
      </c>
      <c r="K54" s="37">
        <f t="shared" si="0"/>
        <v>239.95125000000002</v>
      </c>
      <c r="L54" s="31"/>
      <c r="M54" s="72"/>
      <c r="N54" s="73"/>
      <c r="O54" s="74"/>
      <c r="P54" s="75">
        <f t="shared" si="1"/>
      </c>
      <c r="Q54" s="76"/>
      <c r="S54" s="110" t="str">
        <f>+E54</f>
        <v>Thermostatic radiator valves</v>
      </c>
      <c r="T54" s="114">
        <f>+K54</f>
        <v>239.95125000000002</v>
      </c>
      <c r="U54" s="12"/>
      <c r="V54" s="12">
        <v>10</v>
      </c>
      <c r="W54" s="19">
        <f>ROUND(+IF(V54&gt;0,T54/V54,""),2)</f>
        <v>24</v>
      </c>
      <c r="X54" s="111"/>
    </row>
    <row r="55" spans="1:24" ht="12.75" outlineLevel="1">
      <c r="A55" s="60"/>
      <c r="B55" s="61"/>
      <c r="C55" s="64"/>
      <c r="D55" s="63"/>
      <c r="E55" s="38"/>
      <c r="F55" s="33"/>
      <c r="G55" s="34"/>
      <c r="H55" s="39"/>
      <c r="I55" s="39"/>
      <c r="J55" s="36">
        <f t="shared" si="4"/>
      </c>
      <c r="K55" s="37">
        <f t="shared" si="0"/>
      </c>
      <c r="L55" s="31"/>
      <c r="M55" s="72"/>
      <c r="N55" s="73"/>
      <c r="O55" s="74"/>
      <c r="P55" s="75">
        <f t="shared" si="1"/>
      </c>
      <c r="Q55" s="76"/>
      <c r="S55" s="110"/>
      <c r="T55" s="12"/>
      <c r="U55" s="12"/>
      <c r="V55" s="12"/>
      <c r="W55" s="19"/>
      <c r="X55" s="111"/>
    </row>
    <row r="56" spans="1:24" ht="12.75" outlineLevel="1">
      <c r="A56" s="60"/>
      <c r="B56" s="61"/>
      <c r="C56" s="64"/>
      <c r="D56" s="63"/>
      <c r="E56" s="38" t="s">
        <v>53</v>
      </c>
      <c r="F56" s="33">
        <v>1</v>
      </c>
      <c r="G56" s="34" t="s">
        <v>8</v>
      </c>
      <c r="H56" s="39">
        <v>0.5</v>
      </c>
      <c r="I56" s="39">
        <f>tankstat</f>
        <v>14.924999999999999</v>
      </c>
      <c r="J56" s="36">
        <f t="shared" si="4"/>
        <v>29.924999999999997</v>
      </c>
      <c r="K56" s="37">
        <f t="shared" si="0"/>
        <v>29.924999999999997</v>
      </c>
      <c r="L56" s="31"/>
      <c r="M56" s="72"/>
      <c r="N56" s="73"/>
      <c r="O56" s="74"/>
      <c r="P56" s="75">
        <f t="shared" si="1"/>
      </c>
      <c r="Q56" s="76"/>
      <c r="S56" s="110" t="str">
        <f>+E56</f>
        <v>Thermostatic control to hot water tank</v>
      </c>
      <c r="T56" s="114">
        <f>+K56</f>
        <v>29.924999999999997</v>
      </c>
      <c r="U56" s="12"/>
      <c r="V56" s="12">
        <v>20</v>
      </c>
      <c r="W56" s="19">
        <f>ROUND(+IF(V56&gt;0,T56/V56,""),2)</f>
        <v>1.5</v>
      </c>
      <c r="X56" s="111"/>
    </row>
    <row r="57" spans="1:24" ht="12.75" outlineLevel="1">
      <c r="A57" s="60"/>
      <c r="B57" s="61"/>
      <c r="C57" s="64"/>
      <c r="D57" s="63"/>
      <c r="E57" s="38"/>
      <c r="F57" s="33"/>
      <c r="G57" s="34"/>
      <c r="H57" s="39"/>
      <c r="I57" s="39"/>
      <c r="J57" s="36">
        <f t="shared" si="4"/>
      </c>
      <c r="K57" s="37">
        <f t="shared" si="0"/>
      </c>
      <c r="L57" s="31"/>
      <c r="M57" s="72"/>
      <c r="N57" s="73"/>
      <c r="O57" s="74"/>
      <c r="P57" s="75">
        <f t="shared" si="1"/>
      </c>
      <c r="Q57" s="76"/>
      <c r="S57" s="110"/>
      <c r="T57" s="12"/>
      <c r="U57" s="12"/>
      <c r="V57" s="12"/>
      <c r="W57" s="19"/>
      <c r="X57" s="111"/>
    </row>
    <row r="58" spans="1:24" ht="25.5" outlineLevel="1">
      <c r="A58" s="60"/>
      <c r="B58" s="61"/>
      <c r="C58" s="64"/>
      <c r="D58" s="63"/>
      <c r="E58" s="38" t="s">
        <v>259</v>
      </c>
      <c r="F58" s="33" t="s">
        <v>1</v>
      </c>
      <c r="G58" s="34"/>
      <c r="H58" s="39">
        <v>40</v>
      </c>
      <c r="I58" s="39">
        <v>200</v>
      </c>
      <c r="J58" s="36">
        <f t="shared" si="4"/>
        <v>1400</v>
      </c>
      <c r="K58" s="37">
        <f t="shared" si="0"/>
        <v>1400</v>
      </c>
      <c r="L58" s="31" t="s">
        <v>260</v>
      </c>
      <c r="M58" s="72"/>
      <c r="N58" s="73"/>
      <c r="O58" s="74"/>
      <c r="P58" s="75">
        <f t="shared" si="1"/>
      </c>
      <c r="Q58" s="76"/>
      <c r="S58" s="110" t="str">
        <f>+E58</f>
        <v>Conversion to two zone heating</v>
      </c>
      <c r="T58" s="114">
        <f>+K58</f>
        <v>1400</v>
      </c>
      <c r="U58" s="12"/>
      <c r="V58" s="12">
        <v>60</v>
      </c>
      <c r="W58" s="19">
        <f>ROUND(+IF(V58&gt;0,T58/V58,""),2)</f>
        <v>23.33</v>
      </c>
      <c r="X58" s="111"/>
    </row>
    <row r="59" spans="1:24" ht="12.75" outlineLevel="1">
      <c r="A59" s="60"/>
      <c r="B59" s="61"/>
      <c r="C59" s="64"/>
      <c r="D59" s="63"/>
      <c r="E59" s="38"/>
      <c r="F59" s="33"/>
      <c r="G59" s="34"/>
      <c r="H59" s="39"/>
      <c r="I59" s="39"/>
      <c r="J59" s="36">
        <f t="shared" si="4"/>
      </c>
      <c r="K59" s="37">
        <f t="shared" si="0"/>
      </c>
      <c r="L59" s="31"/>
      <c r="M59" s="72"/>
      <c r="N59" s="73"/>
      <c r="O59" s="74"/>
      <c r="P59" s="75">
        <f t="shared" si="1"/>
      </c>
      <c r="Q59" s="76"/>
      <c r="S59" s="110"/>
      <c r="T59" s="12"/>
      <c r="U59" s="12"/>
      <c r="V59" s="12"/>
      <c r="W59" s="19"/>
      <c r="X59" s="111"/>
    </row>
    <row r="60" spans="1:24" ht="12.75">
      <c r="A60" s="60"/>
      <c r="B60" s="61"/>
      <c r="C60" s="64"/>
      <c r="D60" s="63"/>
      <c r="E60" s="38"/>
      <c r="F60" s="33"/>
      <c r="G60" s="34"/>
      <c r="H60" s="39"/>
      <c r="I60" s="39"/>
      <c r="J60" s="36">
        <f t="shared" si="4"/>
      </c>
      <c r="K60" s="37">
        <f t="shared" si="0"/>
      </c>
      <c r="L60" s="31"/>
      <c r="M60" s="33"/>
      <c r="N60" s="34"/>
      <c r="O60" s="36"/>
      <c r="P60" s="37">
        <f t="shared" si="1"/>
      </c>
      <c r="Q60" s="54"/>
      <c r="S60" s="110"/>
      <c r="T60" s="12"/>
      <c r="U60" s="12"/>
      <c r="V60" s="12"/>
      <c r="W60" s="19"/>
      <c r="X60" s="111"/>
    </row>
    <row r="61" spans="1:24" ht="12.75">
      <c r="A61" s="60"/>
      <c r="B61" s="61"/>
      <c r="C61" s="64"/>
      <c r="D61" s="63"/>
      <c r="E61" s="38"/>
      <c r="F61" s="33"/>
      <c r="G61" s="34"/>
      <c r="H61" s="39"/>
      <c r="I61" s="39"/>
      <c r="J61" s="36">
        <f t="shared" si="4"/>
      </c>
      <c r="K61" s="37">
        <f t="shared" si="0"/>
      </c>
      <c r="L61" s="31"/>
      <c r="M61" s="33"/>
      <c r="N61" s="34"/>
      <c r="O61" s="36"/>
      <c r="P61" s="37">
        <f t="shared" si="1"/>
      </c>
      <c r="Q61" s="54"/>
      <c r="S61" s="110"/>
      <c r="T61" s="12"/>
      <c r="U61" s="12"/>
      <c r="V61" s="12"/>
      <c r="W61" s="19"/>
      <c r="X61" s="111"/>
    </row>
    <row r="62" spans="1:24" ht="12.75">
      <c r="A62" s="60"/>
      <c r="B62" s="61"/>
      <c r="C62" s="64"/>
      <c r="D62" s="63"/>
      <c r="E62" s="32" t="s">
        <v>88</v>
      </c>
      <c r="F62" s="33"/>
      <c r="G62" s="34"/>
      <c r="H62" s="39"/>
      <c r="I62" s="39"/>
      <c r="J62" s="36">
        <f t="shared" si="4"/>
      </c>
      <c r="K62" s="53">
        <f>SUM(K63:K64)</f>
        <v>660</v>
      </c>
      <c r="L62" s="31"/>
      <c r="M62" s="33"/>
      <c r="N62" s="34"/>
      <c r="O62" s="36"/>
      <c r="P62" s="53">
        <f>SUM(P63:P64)</f>
        <v>330</v>
      </c>
      <c r="Q62" s="54"/>
      <c r="S62" s="113" t="s">
        <v>257</v>
      </c>
      <c r="T62" s="12"/>
      <c r="U62" s="12"/>
      <c r="V62" s="12"/>
      <c r="W62" s="19">
        <f>SUM(W63:W64)</f>
        <v>66</v>
      </c>
      <c r="X62" s="111"/>
    </row>
    <row r="63" spans="1:24" ht="12.75" outlineLevel="1">
      <c r="A63" s="60"/>
      <c r="B63" s="61"/>
      <c r="C63" s="64"/>
      <c r="D63" s="63"/>
      <c r="E63" s="38"/>
      <c r="F63" s="33"/>
      <c r="G63" s="34"/>
      <c r="H63" s="39"/>
      <c r="I63" s="39"/>
      <c r="J63" s="36">
        <f t="shared" si="4"/>
      </c>
      <c r="K63" s="37">
        <f t="shared" si="0"/>
      </c>
      <c r="L63" s="31"/>
      <c r="M63" s="33"/>
      <c r="N63" s="34"/>
      <c r="O63" s="36"/>
      <c r="P63" s="37">
        <f t="shared" si="1"/>
      </c>
      <c r="Q63" s="54"/>
      <c r="S63" s="110"/>
      <c r="T63" s="12"/>
      <c r="U63" s="12"/>
      <c r="V63" s="12"/>
      <c r="W63" s="19"/>
      <c r="X63" s="111"/>
    </row>
    <row r="64" spans="1:24" ht="25.5" customHeight="1" outlineLevel="1">
      <c r="A64" s="60"/>
      <c r="B64" s="61"/>
      <c r="C64" s="64"/>
      <c r="D64" s="63"/>
      <c r="E64" s="38" t="s">
        <v>57</v>
      </c>
      <c r="F64" s="33">
        <f>+F29</f>
        <v>11</v>
      </c>
      <c r="G64" s="34" t="s">
        <v>8</v>
      </c>
      <c r="H64" s="39"/>
      <c r="I64" s="39"/>
      <c r="J64" s="36">
        <v>60</v>
      </c>
      <c r="K64" s="37">
        <f t="shared" si="0"/>
        <v>660</v>
      </c>
      <c r="L64" s="70" t="s">
        <v>58</v>
      </c>
      <c r="M64" s="33">
        <f>+F64</f>
        <v>11</v>
      </c>
      <c r="N64" s="34" t="s">
        <v>8</v>
      </c>
      <c r="O64" s="36">
        <v>30</v>
      </c>
      <c r="P64" s="37">
        <f t="shared" si="1"/>
        <v>330</v>
      </c>
      <c r="Q64" s="97" t="s">
        <v>58</v>
      </c>
      <c r="S64" s="110" t="str">
        <f>+E64</f>
        <v>Heavy weight thermal linings to existing curtains</v>
      </c>
      <c r="T64" s="114">
        <f>+K64</f>
        <v>660</v>
      </c>
      <c r="U64" s="12"/>
      <c r="V64" s="12">
        <v>10</v>
      </c>
      <c r="W64" s="19">
        <f>ROUND(+IF(V64&gt;0,T64/V64,""),2)</f>
        <v>66</v>
      </c>
      <c r="X64" s="111"/>
    </row>
    <row r="65" spans="1:24" ht="12.75">
      <c r="A65" s="60"/>
      <c r="B65" s="61"/>
      <c r="C65" s="64"/>
      <c r="D65" s="63"/>
      <c r="E65" s="38"/>
      <c r="F65" s="33"/>
      <c r="G65" s="34"/>
      <c r="H65" s="39"/>
      <c r="I65" s="39"/>
      <c r="J65" s="36">
        <f aca="true" t="shared" si="5" ref="J65:J83">IF(+I65+H65&gt;0,I65+(H65*labour),"")</f>
      </c>
      <c r="K65" s="37">
        <f t="shared" si="0"/>
      </c>
      <c r="L65" s="31"/>
      <c r="M65" s="33"/>
      <c r="N65" s="34"/>
      <c r="O65" s="36"/>
      <c r="P65" s="37">
        <f t="shared" si="1"/>
      </c>
      <c r="Q65" s="54"/>
      <c r="S65" s="110"/>
      <c r="T65" s="12"/>
      <c r="U65" s="12"/>
      <c r="V65" s="12"/>
      <c r="W65" s="19"/>
      <c r="X65" s="111"/>
    </row>
    <row r="66" spans="1:24" ht="12.75">
      <c r="A66" s="60"/>
      <c r="B66" s="61"/>
      <c r="C66" s="64"/>
      <c r="D66" s="63"/>
      <c r="E66" s="38"/>
      <c r="F66" s="33"/>
      <c r="G66" s="34"/>
      <c r="H66" s="39"/>
      <c r="I66" s="39"/>
      <c r="J66" s="36">
        <f t="shared" si="5"/>
      </c>
      <c r="K66" s="37">
        <f t="shared" si="0"/>
      </c>
      <c r="L66" s="31"/>
      <c r="M66" s="33"/>
      <c r="N66" s="34"/>
      <c r="O66" s="36"/>
      <c r="P66" s="37">
        <f t="shared" si="1"/>
      </c>
      <c r="Q66" s="54"/>
      <c r="S66" s="110"/>
      <c r="T66" s="12"/>
      <c r="U66" s="12"/>
      <c r="V66" s="12"/>
      <c r="W66" s="19"/>
      <c r="X66" s="111"/>
    </row>
    <row r="67" spans="1:24" ht="25.5">
      <c r="A67" s="60"/>
      <c r="B67" s="61"/>
      <c r="C67" s="64"/>
      <c r="D67" s="63"/>
      <c r="E67" s="32" t="s">
        <v>89</v>
      </c>
      <c r="F67" s="33"/>
      <c r="G67" s="34"/>
      <c r="H67" s="39"/>
      <c r="I67" s="39"/>
      <c r="J67" s="36">
        <f t="shared" si="5"/>
      </c>
      <c r="K67" s="53">
        <f>SUM(K68:K73)</f>
        <v>338.176</v>
      </c>
      <c r="L67" s="31" t="s">
        <v>64</v>
      </c>
      <c r="M67" s="72"/>
      <c r="N67" s="73"/>
      <c r="O67" s="74"/>
      <c r="P67" s="75">
        <f t="shared" si="1"/>
      </c>
      <c r="Q67" s="76"/>
      <c r="S67" s="113" t="s">
        <v>257</v>
      </c>
      <c r="T67" s="12"/>
      <c r="U67" s="12"/>
      <c r="V67" s="12"/>
      <c r="W67" s="112">
        <f>SUM(W69:W74)</f>
        <v>22.55</v>
      </c>
      <c r="X67" s="111"/>
    </row>
    <row r="68" spans="1:24" ht="12.75" outlineLevel="1">
      <c r="A68" s="60"/>
      <c r="B68" s="61"/>
      <c r="C68" s="64"/>
      <c r="D68" s="65"/>
      <c r="E68" s="38"/>
      <c r="F68" s="33"/>
      <c r="G68" s="34"/>
      <c r="H68" s="39"/>
      <c r="I68" s="39"/>
      <c r="J68" s="36">
        <f t="shared" si="5"/>
      </c>
      <c r="K68" s="37">
        <f t="shared" si="0"/>
      </c>
      <c r="L68" s="31"/>
      <c r="M68" s="72"/>
      <c r="N68" s="73"/>
      <c r="O68" s="74"/>
      <c r="P68" s="75">
        <f t="shared" si="1"/>
      </c>
      <c r="Q68" s="76"/>
      <c r="S68" s="110"/>
      <c r="T68" s="12"/>
      <c r="U68" s="12"/>
      <c r="V68" s="12"/>
      <c r="W68" s="19"/>
      <c r="X68" s="111"/>
    </row>
    <row r="69" spans="1:24" ht="12.75" outlineLevel="1">
      <c r="A69" s="60"/>
      <c r="B69" s="61"/>
      <c r="C69" s="64"/>
      <c r="D69" s="63"/>
      <c r="E69" s="38" t="s">
        <v>60</v>
      </c>
      <c r="F69" s="33">
        <v>32</v>
      </c>
      <c r="G69" s="34" t="s">
        <v>35</v>
      </c>
      <c r="H69" s="39">
        <v>0.2</v>
      </c>
      <c r="I69" s="39"/>
      <c r="J69" s="36">
        <f t="shared" si="5"/>
        <v>6</v>
      </c>
      <c r="K69" s="37">
        <f t="shared" si="0"/>
        <v>192</v>
      </c>
      <c r="L69" s="31" t="s">
        <v>59</v>
      </c>
      <c r="M69" s="72"/>
      <c r="N69" s="73"/>
      <c r="O69" s="74"/>
      <c r="P69" s="75">
        <f t="shared" si="1"/>
      </c>
      <c r="Q69" s="76"/>
      <c r="S69" s="110" t="str">
        <f>+E69</f>
        <v>Lifting/ relaying existing carpet</v>
      </c>
      <c r="T69" s="114">
        <f>+K69</f>
        <v>192</v>
      </c>
      <c r="U69" s="12"/>
      <c r="V69" s="12">
        <v>15</v>
      </c>
      <c r="W69" s="19">
        <f>ROUND(+IF(V69&gt;0,T69/V69,""),2)</f>
        <v>12.8</v>
      </c>
      <c r="X69" s="111"/>
    </row>
    <row r="70" spans="1:24" ht="12.75" outlineLevel="1">
      <c r="A70" s="60"/>
      <c r="B70" s="61"/>
      <c r="C70" s="64"/>
      <c r="D70" s="63"/>
      <c r="E70" s="38"/>
      <c r="F70" s="33"/>
      <c r="G70" s="34"/>
      <c r="H70" s="39"/>
      <c r="I70" s="39"/>
      <c r="J70" s="36">
        <f t="shared" si="5"/>
      </c>
      <c r="K70" s="37">
        <f>+IF(F70="item",J70,IF(F70&lt;&gt;0,F70*J70,""))</f>
      </c>
      <c r="L70" s="31"/>
      <c r="M70" s="72"/>
      <c r="N70" s="73"/>
      <c r="O70" s="74"/>
      <c r="P70" s="75"/>
      <c r="Q70" s="76"/>
      <c r="S70" s="110"/>
      <c r="T70" s="12"/>
      <c r="U70" s="12"/>
      <c r="V70" s="12"/>
      <c r="W70" s="19"/>
      <c r="X70" s="111"/>
    </row>
    <row r="71" spans="1:24" ht="12.75" outlineLevel="1">
      <c r="A71" s="60"/>
      <c r="B71" s="61"/>
      <c r="C71" s="64"/>
      <c r="D71" s="63"/>
      <c r="E71" s="38" t="s">
        <v>132</v>
      </c>
      <c r="F71" s="33">
        <v>32</v>
      </c>
      <c r="G71" s="34" t="s">
        <v>108</v>
      </c>
      <c r="H71" s="39"/>
      <c r="I71" s="39">
        <v>0.5</v>
      </c>
      <c r="J71" s="36">
        <f t="shared" si="5"/>
        <v>0.5</v>
      </c>
      <c r="K71" s="37">
        <f>+IF(F71="item",J71,IF(F71&lt;&gt;0,F71*J71,""))</f>
        <v>16</v>
      </c>
      <c r="L71" s="31"/>
      <c r="M71" s="72"/>
      <c r="N71" s="73"/>
      <c r="O71" s="74"/>
      <c r="P71" s="75"/>
      <c r="Q71" s="76"/>
      <c r="S71" s="110" t="str">
        <f>+E71</f>
        <v>Grippers</v>
      </c>
      <c r="T71" s="114">
        <f>+K71</f>
        <v>16</v>
      </c>
      <c r="U71" s="12"/>
      <c r="V71" s="12">
        <v>15</v>
      </c>
      <c r="W71" s="19">
        <f>ROUND(+IF(V71&gt;0,T71/V71,""),2)</f>
        <v>1.07</v>
      </c>
      <c r="X71" s="111"/>
    </row>
    <row r="72" spans="1:24" ht="12.75" outlineLevel="1">
      <c r="A72" s="60"/>
      <c r="B72" s="61"/>
      <c r="C72" s="64"/>
      <c r="D72" s="63"/>
      <c r="E72" s="38"/>
      <c r="F72" s="33"/>
      <c r="G72" s="34"/>
      <c r="H72" s="39"/>
      <c r="I72" s="39"/>
      <c r="J72" s="36">
        <f t="shared" si="5"/>
      </c>
      <c r="K72" s="37">
        <f t="shared" si="0"/>
      </c>
      <c r="L72" s="31"/>
      <c r="M72" s="72"/>
      <c r="N72" s="73"/>
      <c r="O72" s="74"/>
      <c r="P72" s="75">
        <f t="shared" si="1"/>
      </c>
      <c r="Q72" s="76"/>
      <c r="S72" s="110"/>
      <c r="T72" s="12"/>
      <c r="U72" s="12"/>
      <c r="V72" s="12"/>
      <c r="W72" s="19"/>
      <c r="X72" s="111"/>
    </row>
    <row r="73" spans="1:24" ht="12.75" outlineLevel="1">
      <c r="A73" s="60"/>
      <c r="B73" s="61"/>
      <c r="C73" s="64"/>
      <c r="D73" s="63"/>
      <c r="E73" s="38" t="s">
        <v>61</v>
      </c>
      <c r="F73" s="33">
        <f>+F69</f>
        <v>32</v>
      </c>
      <c r="G73" s="34" t="s">
        <v>35</v>
      </c>
      <c r="H73" s="39">
        <v>0.08</v>
      </c>
      <c r="I73" s="39">
        <f>+underlay</f>
        <v>1.6679999999999997</v>
      </c>
      <c r="J73" s="36">
        <f t="shared" si="5"/>
        <v>4.068</v>
      </c>
      <c r="K73" s="37">
        <f t="shared" si="0"/>
        <v>130.176</v>
      </c>
      <c r="L73" s="31"/>
      <c r="M73" s="72"/>
      <c r="N73" s="73"/>
      <c r="O73" s="74"/>
      <c r="P73" s="75">
        <f t="shared" si="1"/>
      </c>
      <c r="Q73" s="76"/>
      <c r="S73" s="110" t="str">
        <f>+E73</f>
        <v>Wool mix underlay</v>
      </c>
      <c r="T73" s="114">
        <f>+K73</f>
        <v>130.176</v>
      </c>
      <c r="U73" s="12"/>
      <c r="V73" s="12">
        <v>15</v>
      </c>
      <c r="W73" s="19">
        <f>ROUND(+IF(V73&gt;0,T73/V73,""),2)</f>
        <v>8.68</v>
      </c>
      <c r="X73" s="111"/>
    </row>
    <row r="74" spans="1:24" ht="12.75" outlineLevel="1">
      <c r="A74" s="60"/>
      <c r="B74" s="61"/>
      <c r="C74" s="64"/>
      <c r="D74" s="63"/>
      <c r="E74" s="38"/>
      <c r="F74" s="33"/>
      <c r="G74" s="34"/>
      <c r="H74" s="39"/>
      <c r="I74" s="39"/>
      <c r="J74" s="36">
        <f t="shared" si="5"/>
      </c>
      <c r="K74" s="37">
        <f t="shared" si="0"/>
      </c>
      <c r="L74" s="31"/>
      <c r="M74" s="72"/>
      <c r="N74" s="73"/>
      <c r="O74" s="74"/>
      <c r="P74" s="75">
        <f t="shared" si="1"/>
      </c>
      <c r="Q74" s="76"/>
      <c r="S74" s="110"/>
      <c r="T74" s="12"/>
      <c r="U74" s="12"/>
      <c r="V74" s="12"/>
      <c r="W74" s="19"/>
      <c r="X74" s="111"/>
    </row>
    <row r="75" spans="1:24" ht="12.75">
      <c r="A75" s="60"/>
      <c r="B75" s="61"/>
      <c r="C75" s="64"/>
      <c r="D75" s="63"/>
      <c r="E75" s="38"/>
      <c r="F75" s="33"/>
      <c r="G75" s="34"/>
      <c r="H75" s="39"/>
      <c r="I75" s="39"/>
      <c r="J75" s="36">
        <f t="shared" si="5"/>
      </c>
      <c r="K75" s="37">
        <f t="shared" si="0"/>
      </c>
      <c r="L75" s="31"/>
      <c r="M75" s="33"/>
      <c r="N75" s="34"/>
      <c r="O75" s="36"/>
      <c r="P75" s="37">
        <f t="shared" si="1"/>
      </c>
      <c r="Q75" s="54"/>
      <c r="S75" s="110"/>
      <c r="T75" s="12"/>
      <c r="U75" s="12"/>
      <c r="V75" s="12"/>
      <c r="W75" s="19"/>
      <c r="X75" s="111"/>
    </row>
    <row r="76" spans="1:24" ht="12.75">
      <c r="A76" s="60"/>
      <c r="B76" s="61"/>
      <c r="C76" s="64"/>
      <c r="D76" s="63"/>
      <c r="E76" s="32" t="s">
        <v>90</v>
      </c>
      <c r="F76" s="33"/>
      <c r="G76" s="34"/>
      <c r="H76" s="39"/>
      <c r="I76" s="39"/>
      <c r="J76" s="36">
        <f t="shared" si="5"/>
      </c>
      <c r="K76" s="53">
        <f>SUM(K77:K79)</f>
        <v>1072.5</v>
      </c>
      <c r="L76" s="31" t="s">
        <v>66</v>
      </c>
      <c r="M76" s="33"/>
      <c r="N76" s="34"/>
      <c r="O76" s="36"/>
      <c r="P76" s="53">
        <f>SUM(P77:P79)</f>
        <v>825</v>
      </c>
      <c r="Q76" s="54" t="s">
        <v>66</v>
      </c>
      <c r="S76" s="110" t="s">
        <v>261</v>
      </c>
      <c r="T76" s="114">
        <f>+K76</f>
        <v>1072.5</v>
      </c>
      <c r="U76" s="12"/>
      <c r="V76" s="12">
        <v>15</v>
      </c>
      <c r="W76" s="112">
        <f>ROUND(+IF(V76&gt;0,T76/V76,""),2)</f>
        <v>71.5</v>
      </c>
      <c r="X76" s="111"/>
    </row>
    <row r="77" spans="1:24" ht="63.75" outlineLevel="1">
      <c r="A77" s="60"/>
      <c r="B77" s="61"/>
      <c r="C77" s="64"/>
      <c r="D77" s="63"/>
      <c r="E77" s="38"/>
      <c r="F77" s="33"/>
      <c r="G77" s="34"/>
      <c r="H77" s="39"/>
      <c r="I77" s="39"/>
      <c r="J77" s="36">
        <f t="shared" si="5"/>
      </c>
      <c r="K77" s="37">
        <f t="shared" si="0"/>
      </c>
      <c r="L77" s="69" t="s">
        <v>65</v>
      </c>
      <c r="M77" s="33"/>
      <c r="N77" s="34"/>
      <c r="O77" s="36"/>
      <c r="P77" s="37">
        <f t="shared" si="1"/>
      </c>
      <c r="Q77" s="54"/>
      <c r="S77" s="110"/>
      <c r="T77" s="12"/>
      <c r="U77" s="12"/>
      <c r="V77" s="12"/>
      <c r="W77" s="19"/>
      <c r="X77" s="111"/>
    </row>
    <row r="78" spans="1:24" ht="12.75" outlineLevel="1">
      <c r="A78" s="60"/>
      <c r="B78" s="61"/>
      <c r="C78" s="64"/>
      <c r="D78" s="63"/>
      <c r="E78" s="38"/>
      <c r="F78" s="33">
        <f>+F64</f>
        <v>11</v>
      </c>
      <c r="G78" s="34" t="s">
        <v>8</v>
      </c>
      <c r="H78" s="39">
        <v>0.75</v>
      </c>
      <c r="I78" s="39">
        <v>75</v>
      </c>
      <c r="J78" s="36">
        <f t="shared" si="5"/>
        <v>97.5</v>
      </c>
      <c r="K78" s="37">
        <f t="shared" si="0"/>
        <v>1072.5</v>
      </c>
      <c r="L78" s="91" t="s">
        <v>67</v>
      </c>
      <c r="M78" s="33">
        <f>+F78</f>
        <v>11</v>
      </c>
      <c r="N78" s="34" t="s">
        <v>8</v>
      </c>
      <c r="O78" s="36">
        <f>+I78</f>
        <v>75</v>
      </c>
      <c r="P78" s="37">
        <f t="shared" si="1"/>
        <v>825</v>
      </c>
      <c r="Q78" s="54"/>
      <c r="S78" s="110"/>
      <c r="T78" s="12"/>
      <c r="U78" s="12"/>
      <c r="V78" s="12"/>
      <c r="W78" s="19"/>
      <c r="X78" s="111"/>
    </row>
    <row r="79" spans="1:24" ht="12.75" outlineLevel="1">
      <c r="A79" s="60"/>
      <c r="B79" s="61"/>
      <c r="C79" s="64"/>
      <c r="D79" s="63"/>
      <c r="E79" s="40"/>
      <c r="F79" s="33"/>
      <c r="G79" s="34"/>
      <c r="H79" s="39"/>
      <c r="I79" s="39"/>
      <c r="J79" s="36">
        <f t="shared" si="5"/>
      </c>
      <c r="K79" s="37">
        <f t="shared" si="0"/>
      </c>
      <c r="L79" s="31"/>
      <c r="M79" s="33"/>
      <c r="N79" s="34"/>
      <c r="O79" s="36"/>
      <c r="P79" s="37">
        <f t="shared" si="1"/>
      </c>
      <c r="Q79" s="54"/>
      <c r="S79" s="110"/>
      <c r="T79" s="12"/>
      <c r="U79" s="12"/>
      <c r="V79" s="12"/>
      <c r="W79" s="19"/>
      <c r="X79" s="111"/>
    </row>
    <row r="80" spans="1:24" ht="12.75">
      <c r="A80" s="60"/>
      <c r="B80" s="61"/>
      <c r="C80" s="64"/>
      <c r="D80" s="63"/>
      <c r="E80" s="41"/>
      <c r="F80" s="33"/>
      <c r="G80" s="34"/>
      <c r="H80" s="39"/>
      <c r="I80" s="39"/>
      <c r="J80" s="36">
        <f t="shared" si="5"/>
      </c>
      <c r="K80" s="37">
        <f t="shared" si="0"/>
      </c>
      <c r="L80" s="31"/>
      <c r="M80" s="33"/>
      <c r="N80" s="34"/>
      <c r="O80" s="36"/>
      <c r="P80" s="37">
        <f t="shared" si="1"/>
      </c>
      <c r="Q80" s="54"/>
      <c r="S80" s="110"/>
      <c r="T80" s="12"/>
      <c r="U80" s="12"/>
      <c r="V80" s="12"/>
      <c r="W80" s="19"/>
      <c r="X80" s="111"/>
    </row>
    <row r="81" spans="1:24" ht="12.75">
      <c r="A81" s="60"/>
      <c r="B81" s="61"/>
      <c r="C81" s="64"/>
      <c r="D81" s="63"/>
      <c r="E81" s="38"/>
      <c r="F81" s="33"/>
      <c r="G81" s="34"/>
      <c r="H81" s="39"/>
      <c r="I81" s="39"/>
      <c r="J81" s="36">
        <f t="shared" si="5"/>
      </c>
      <c r="K81" s="37">
        <f t="shared" si="0"/>
      </c>
      <c r="L81" s="31"/>
      <c r="M81" s="33"/>
      <c r="N81" s="34"/>
      <c r="O81" s="36"/>
      <c r="P81" s="37">
        <f t="shared" si="1"/>
      </c>
      <c r="Q81" s="54"/>
      <c r="S81" s="110"/>
      <c r="T81" s="12"/>
      <c r="U81" s="12"/>
      <c r="V81" s="12"/>
      <c r="W81" s="19"/>
      <c r="X81" s="111"/>
    </row>
    <row r="82" spans="1:24" ht="12.75">
      <c r="A82" s="60"/>
      <c r="B82" s="61"/>
      <c r="C82" s="64"/>
      <c r="D82" s="63"/>
      <c r="E82" s="32" t="s">
        <v>91</v>
      </c>
      <c r="F82" s="33"/>
      <c r="G82" s="34"/>
      <c r="H82" s="39"/>
      <c r="I82" s="39"/>
      <c r="J82" s="36">
        <f t="shared" si="5"/>
      </c>
      <c r="K82" s="53">
        <f>SUM(K83:K84)</f>
        <v>4400</v>
      </c>
      <c r="L82" s="31"/>
      <c r="M82" s="72"/>
      <c r="N82" s="73"/>
      <c r="O82" s="74"/>
      <c r="P82" s="75">
        <f t="shared" si="1"/>
      </c>
      <c r="Q82" s="76"/>
      <c r="S82" s="110"/>
      <c r="T82" s="12"/>
      <c r="U82" s="12"/>
      <c r="V82" s="12"/>
      <c r="W82" s="112">
        <f>SUM(W83:W84)</f>
        <v>146.67</v>
      </c>
      <c r="X82" s="111"/>
    </row>
    <row r="83" spans="1:24" ht="12.75" outlineLevel="1">
      <c r="A83" s="60"/>
      <c r="B83" s="61"/>
      <c r="C83" s="64"/>
      <c r="D83" s="63"/>
      <c r="E83" s="38"/>
      <c r="F83" s="33"/>
      <c r="G83" s="34"/>
      <c r="H83" s="39"/>
      <c r="I83" s="39"/>
      <c r="J83" s="36">
        <f t="shared" si="5"/>
      </c>
      <c r="K83" s="37">
        <f t="shared" si="0"/>
      </c>
      <c r="L83" s="31"/>
      <c r="M83" s="72"/>
      <c r="N83" s="73"/>
      <c r="O83" s="74"/>
      <c r="P83" s="75">
        <f t="shared" si="1"/>
      </c>
      <c r="Q83" s="76"/>
      <c r="S83" s="110"/>
      <c r="T83" s="12"/>
      <c r="U83" s="12"/>
      <c r="V83" s="12"/>
      <c r="W83" s="19"/>
      <c r="X83" s="111"/>
    </row>
    <row r="84" spans="1:24" ht="12.75" outlineLevel="1">
      <c r="A84" s="60"/>
      <c r="B84" s="61"/>
      <c r="C84" s="64"/>
      <c r="D84" s="63"/>
      <c r="E84" s="38" t="s">
        <v>68</v>
      </c>
      <c r="F84" s="33">
        <v>11</v>
      </c>
      <c r="G84" s="34" t="s">
        <v>8</v>
      </c>
      <c r="H84" s="39"/>
      <c r="I84" s="39"/>
      <c r="J84" s="36">
        <v>400</v>
      </c>
      <c r="K84" s="37">
        <f t="shared" si="0"/>
        <v>4400</v>
      </c>
      <c r="L84" s="31"/>
      <c r="M84" s="72"/>
      <c r="N84" s="73"/>
      <c r="O84" s="74"/>
      <c r="P84" s="75">
        <f t="shared" si="1"/>
      </c>
      <c r="Q84" s="76"/>
      <c r="S84" s="110" t="str">
        <f>+E84</f>
        <v>Storm windows</v>
      </c>
      <c r="T84" s="114">
        <f>+K84</f>
        <v>4400</v>
      </c>
      <c r="U84" s="12"/>
      <c r="V84" s="12">
        <v>30</v>
      </c>
      <c r="W84" s="19">
        <f>ROUND(+IF(V84&gt;0,T84/V84,""),2)</f>
        <v>146.67</v>
      </c>
      <c r="X84" s="111"/>
    </row>
    <row r="85" spans="1:24" ht="12.75" outlineLevel="1">
      <c r="A85" s="60"/>
      <c r="B85" s="66"/>
      <c r="C85" s="64"/>
      <c r="D85" s="63"/>
      <c r="E85" s="38"/>
      <c r="F85" s="33"/>
      <c r="G85" s="34"/>
      <c r="H85" s="39"/>
      <c r="I85" s="39"/>
      <c r="J85" s="36">
        <f>IF(+I85+H85&gt;0,I85+(H85*labour),"")</f>
      </c>
      <c r="K85" s="37">
        <f t="shared" si="0"/>
      </c>
      <c r="L85" s="31"/>
      <c r="M85" s="33"/>
      <c r="N85" s="34"/>
      <c r="O85" s="36"/>
      <c r="P85" s="37">
        <f t="shared" si="1"/>
      </c>
      <c r="Q85" s="54"/>
      <c r="S85" s="110"/>
      <c r="T85" s="12"/>
      <c r="U85" s="12"/>
      <c r="V85" s="12"/>
      <c r="W85" s="19"/>
      <c r="X85" s="111"/>
    </row>
    <row r="86" spans="1:24" ht="12.75">
      <c r="A86" s="60"/>
      <c r="B86" s="61"/>
      <c r="C86" s="64"/>
      <c r="D86" s="63"/>
      <c r="E86" s="38"/>
      <c r="F86" s="33"/>
      <c r="G86" s="34"/>
      <c r="H86" s="39"/>
      <c r="I86" s="39"/>
      <c r="J86" s="36">
        <f>IF(+I86+H86&gt;0,I86+(H86*labour),"")</f>
      </c>
      <c r="K86" s="37">
        <f t="shared" si="0"/>
      </c>
      <c r="L86" s="31"/>
      <c r="M86" s="33"/>
      <c r="N86" s="34"/>
      <c r="O86" s="36"/>
      <c r="P86" s="37">
        <f t="shared" si="1"/>
      </c>
      <c r="Q86" s="54"/>
      <c r="S86" s="110"/>
      <c r="T86" s="12"/>
      <c r="U86" s="12"/>
      <c r="V86" s="12"/>
      <c r="W86" s="19"/>
      <c r="X86" s="111"/>
    </row>
    <row r="87" spans="1:24" ht="15.75">
      <c r="A87" s="60"/>
      <c r="B87" s="61"/>
      <c r="C87" s="64"/>
      <c r="D87" s="63"/>
      <c r="E87" s="78" t="s">
        <v>92</v>
      </c>
      <c r="F87" s="79"/>
      <c r="G87" s="80"/>
      <c r="H87" s="81"/>
      <c r="I87" s="81"/>
      <c r="J87" s="82"/>
      <c r="K87" s="83"/>
      <c r="L87" s="84"/>
      <c r="M87" s="79"/>
      <c r="N87" s="80"/>
      <c r="O87" s="82"/>
      <c r="P87" s="83"/>
      <c r="Q87" s="85"/>
      <c r="S87" s="110"/>
      <c r="T87" s="12"/>
      <c r="U87" s="12"/>
      <c r="V87" s="12"/>
      <c r="W87" s="19"/>
      <c r="X87" s="111"/>
    </row>
    <row r="88" spans="1:24" ht="12.75">
      <c r="A88" s="60"/>
      <c r="B88" s="61"/>
      <c r="C88" s="64"/>
      <c r="D88" s="63"/>
      <c r="E88" s="38"/>
      <c r="F88" s="33"/>
      <c r="G88" s="34"/>
      <c r="H88" s="39"/>
      <c r="I88" s="39"/>
      <c r="J88" s="36"/>
      <c r="K88" s="37"/>
      <c r="L88" s="31"/>
      <c r="M88" s="33"/>
      <c r="N88" s="34"/>
      <c r="O88" s="36"/>
      <c r="P88" s="37"/>
      <c r="Q88" s="54"/>
      <c r="S88" s="110"/>
      <c r="T88" s="12"/>
      <c r="U88" s="12"/>
      <c r="V88" s="12"/>
      <c r="W88" s="19"/>
      <c r="X88" s="111"/>
    </row>
    <row r="89" spans="1:24" ht="63.75">
      <c r="A89" s="60"/>
      <c r="B89" s="61"/>
      <c r="C89" s="64"/>
      <c r="D89" s="63"/>
      <c r="E89" s="32" t="s">
        <v>93</v>
      </c>
      <c r="F89" s="33"/>
      <c r="G89" s="34"/>
      <c r="H89" s="39"/>
      <c r="I89" s="39"/>
      <c r="J89" s="36">
        <f>IF(+I89+H89&gt;0,I89+(H89*labour),"")</f>
      </c>
      <c r="K89" s="37"/>
      <c r="L89" s="31" t="s">
        <v>94</v>
      </c>
      <c r="M89" s="33"/>
      <c r="N89" s="34"/>
      <c r="O89" s="36"/>
      <c r="P89" s="37">
        <f t="shared" si="1"/>
      </c>
      <c r="Q89" s="54"/>
      <c r="S89" s="110"/>
      <c r="T89" s="12"/>
      <c r="U89" s="12"/>
      <c r="V89" s="12"/>
      <c r="W89" s="115">
        <v>0</v>
      </c>
      <c r="X89" s="111"/>
    </row>
    <row r="90" spans="1:24" ht="12.75">
      <c r="A90" s="60"/>
      <c r="B90" s="61"/>
      <c r="C90" s="64"/>
      <c r="D90" s="63"/>
      <c r="E90" s="32"/>
      <c r="F90" s="33"/>
      <c r="G90" s="34"/>
      <c r="H90" s="39"/>
      <c r="I90" s="39"/>
      <c r="J90" s="36"/>
      <c r="K90" s="37"/>
      <c r="L90" s="31"/>
      <c r="M90" s="33"/>
      <c r="N90" s="34"/>
      <c r="O90" s="36"/>
      <c r="P90" s="37"/>
      <c r="Q90" s="54"/>
      <c r="S90" s="110"/>
      <c r="T90" s="12"/>
      <c r="U90" s="12"/>
      <c r="V90" s="12"/>
      <c r="W90" s="19"/>
      <c r="X90" s="111"/>
    </row>
    <row r="91" spans="1:24" ht="12.75">
      <c r="A91" s="60"/>
      <c r="B91" s="61"/>
      <c r="C91" s="64"/>
      <c r="D91" s="63"/>
      <c r="E91" s="38"/>
      <c r="F91" s="33"/>
      <c r="G91" s="42"/>
      <c r="H91" s="43"/>
      <c r="I91" s="43"/>
      <c r="J91" s="36">
        <f>IF(+I91+H91&gt;0,I91+(H91*labour),"")</f>
      </c>
      <c r="K91" s="37">
        <f aca="true" t="shared" si="6" ref="K91:K138">+IF(F91="item",J91,IF(F91&lt;&gt;0,F91*J91,""))</f>
      </c>
      <c r="L91" s="31"/>
      <c r="M91" s="33"/>
      <c r="N91" s="42"/>
      <c r="O91" s="36"/>
      <c r="P91" s="37">
        <f aca="true" t="shared" si="7" ref="P91:P147">+IF(M91="item",O91,IF(M91&lt;&gt;0,M91*O91,""))</f>
      </c>
      <c r="Q91" s="54"/>
      <c r="S91" s="110"/>
      <c r="T91" s="12"/>
      <c r="U91" s="12"/>
      <c r="V91" s="12"/>
      <c r="W91" s="19"/>
      <c r="X91" s="111"/>
    </row>
    <row r="92" spans="1:24" ht="25.5">
      <c r="A92" s="60"/>
      <c r="B92" s="61"/>
      <c r="C92" s="64"/>
      <c r="D92" s="65"/>
      <c r="E92" s="77" t="s">
        <v>95</v>
      </c>
      <c r="F92" s="33"/>
      <c r="G92" s="42"/>
      <c r="H92" s="43"/>
      <c r="I92" s="43"/>
      <c r="J92" s="36">
        <f>IF(+I92+H92&gt;0,I92+(H92*labour),"")</f>
      </c>
      <c r="K92" s="53">
        <f>SUM(K94:K107)</f>
        <v>2235.2876248803827</v>
      </c>
      <c r="L92" s="31"/>
      <c r="M92" s="33"/>
      <c r="N92" s="42"/>
      <c r="O92" s="36"/>
      <c r="P92" s="53">
        <f>SUM(P94:P107)</f>
        <v>928.8876248803829</v>
      </c>
      <c r="Q92" s="54"/>
      <c r="S92" s="110"/>
      <c r="T92" s="12"/>
      <c r="U92" s="12"/>
      <c r="V92" s="12"/>
      <c r="W92" s="112">
        <f>SUM(W93:W107)</f>
        <v>89.42</v>
      </c>
      <c r="X92" s="111"/>
    </row>
    <row r="93" spans="1:24" ht="12.75" outlineLevel="1">
      <c r="A93" s="60"/>
      <c r="B93" s="61"/>
      <c r="C93" s="64"/>
      <c r="D93" s="63"/>
      <c r="E93" s="44"/>
      <c r="F93" s="33"/>
      <c r="G93" s="42"/>
      <c r="H93" s="43"/>
      <c r="I93" s="43"/>
      <c r="J93" s="36">
        <f>IF(+I93+H93&gt;0,I93+(H93*labour),"")</f>
      </c>
      <c r="K93" s="37">
        <f t="shared" si="6"/>
      </c>
      <c r="L93" s="31"/>
      <c r="M93" s="33"/>
      <c r="N93" s="42"/>
      <c r="O93" s="36"/>
      <c r="P93" s="37">
        <f t="shared" si="7"/>
      </c>
      <c r="Q93" s="54"/>
      <c r="S93" s="110"/>
      <c r="T93" s="12"/>
      <c r="U93" s="12"/>
      <c r="V93" s="12"/>
      <c r="W93" s="19"/>
      <c r="X93" s="111"/>
    </row>
    <row r="94" spans="1:24" ht="12.75" outlineLevel="1">
      <c r="A94" s="60"/>
      <c r="B94" s="61"/>
      <c r="C94" s="64"/>
      <c r="D94" s="63"/>
      <c r="E94" s="44" t="s">
        <v>71</v>
      </c>
      <c r="F94" s="45">
        <f>+F73</f>
        <v>32</v>
      </c>
      <c r="G94" s="42" t="s">
        <v>35</v>
      </c>
      <c r="H94" s="43"/>
      <c r="I94" s="43"/>
      <c r="J94" s="36">
        <f>8*1.2</f>
        <v>9.6</v>
      </c>
      <c r="K94" s="37">
        <f t="shared" si="6"/>
        <v>307.2</v>
      </c>
      <c r="L94" s="31"/>
      <c r="M94" s="45">
        <f>+F94</f>
        <v>32</v>
      </c>
      <c r="N94" s="42" t="s">
        <v>35</v>
      </c>
      <c r="O94" s="36"/>
      <c r="P94" s="37">
        <f t="shared" si="7"/>
        <v>0</v>
      </c>
      <c r="Q94" s="54"/>
      <c r="S94" s="110" t="str">
        <f>+E94</f>
        <v>Remove floorboards and set aside</v>
      </c>
      <c r="T94" s="114">
        <f>+K94</f>
        <v>307.2</v>
      </c>
      <c r="U94" s="12"/>
      <c r="V94" s="12">
        <v>25</v>
      </c>
      <c r="W94" s="19">
        <f>ROUND(+IF(V94&gt;0,T94/V94,""),2)</f>
        <v>12.29</v>
      </c>
      <c r="X94" s="111"/>
    </row>
    <row r="95" spans="1:24" ht="12.75" outlineLevel="1">
      <c r="A95" s="60"/>
      <c r="B95" s="61"/>
      <c r="C95" s="64"/>
      <c r="D95" s="63"/>
      <c r="E95" s="44"/>
      <c r="F95" s="45"/>
      <c r="G95" s="42"/>
      <c r="H95" s="43"/>
      <c r="I95" s="43"/>
      <c r="J95" s="36"/>
      <c r="K95" s="37"/>
      <c r="L95" s="31"/>
      <c r="M95" s="45"/>
      <c r="N95" s="42"/>
      <c r="O95" s="36"/>
      <c r="P95" s="37"/>
      <c r="Q95" s="54"/>
      <c r="S95" s="110"/>
      <c r="T95" s="12"/>
      <c r="U95" s="12"/>
      <c r="V95" s="12"/>
      <c r="W95" s="19"/>
      <c r="X95" s="111"/>
    </row>
    <row r="96" spans="1:24" ht="12.75" outlineLevel="1">
      <c r="A96" s="60"/>
      <c r="B96" s="61"/>
      <c r="C96" s="64"/>
      <c r="D96" s="63"/>
      <c r="E96" s="38" t="s">
        <v>72</v>
      </c>
      <c r="F96" s="45">
        <f>ROUND(+F94*1.2,0)</f>
        <v>38</v>
      </c>
      <c r="G96" s="42" t="s">
        <v>35</v>
      </c>
      <c r="H96" s="43">
        <v>0.1</v>
      </c>
      <c r="I96" s="43">
        <f>netlon</f>
        <v>0.4648000000000001</v>
      </c>
      <c r="J96" s="36">
        <f aca="true" t="shared" si="8" ref="J96:J103">IF(+I96+H96&gt;0,I96+(H96*labour),"")</f>
        <v>3.4648000000000003</v>
      </c>
      <c r="K96" s="37">
        <f t="shared" si="6"/>
        <v>131.66240000000002</v>
      </c>
      <c r="L96" s="31"/>
      <c r="M96" s="45">
        <f>+F96</f>
        <v>38</v>
      </c>
      <c r="N96" s="42" t="s">
        <v>35</v>
      </c>
      <c r="O96" s="36">
        <f>+I96</f>
        <v>0.4648000000000001</v>
      </c>
      <c r="P96" s="37">
        <f t="shared" si="7"/>
        <v>17.662400000000005</v>
      </c>
      <c r="Q96" s="54"/>
      <c r="S96" s="110" t="str">
        <f>+E96</f>
        <v>Netlon netting trays</v>
      </c>
      <c r="T96" s="114">
        <f>+K96</f>
        <v>131.66240000000002</v>
      </c>
      <c r="U96" s="12"/>
      <c r="V96" s="12">
        <v>25</v>
      </c>
      <c r="W96" s="19">
        <f>ROUND(+IF(V96&gt;0,T96/V96,""),2)</f>
        <v>5.27</v>
      </c>
      <c r="X96" s="111"/>
    </row>
    <row r="97" spans="1:24" ht="12.75" outlineLevel="1">
      <c r="A97" s="60"/>
      <c r="B97" s="61"/>
      <c r="C97" s="64"/>
      <c r="D97" s="63"/>
      <c r="F97" s="45"/>
      <c r="G97" s="42"/>
      <c r="H97" s="43"/>
      <c r="I97" s="43"/>
      <c r="J97" s="36">
        <f t="shared" si="8"/>
      </c>
      <c r="K97" s="37">
        <f t="shared" si="6"/>
      </c>
      <c r="L97" s="31"/>
      <c r="M97" s="45"/>
      <c r="N97" s="42"/>
      <c r="O97" s="36"/>
      <c r="P97" s="37">
        <f t="shared" si="7"/>
      </c>
      <c r="Q97" s="54"/>
      <c r="S97" s="110"/>
      <c r="T97" s="12"/>
      <c r="U97" s="12"/>
      <c r="V97" s="12"/>
      <c r="W97" s="19"/>
      <c r="X97" s="111"/>
    </row>
    <row r="98" spans="1:24" ht="12.75" outlineLevel="1">
      <c r="A98" s="60"/>
      <c r="B98" s="61"/>
      <c r="C98" s="64"/>
      <c r="D98" s="63"/>
      <c r="E98" s="38" t="s">
        <v>76</v>
      </c>
      <c r="F98" s="45">
        <f>+F94</f>
        <v>32</v>
      </c>
      <c r="G98" s="42" t="s">
        <v>35</v>
      </c>
      <c r="H98" s="43">
        <v>0.13</v>
      </c>
      <c r="I98" s="43">
        <f>sheep</f>
        <v>11.300250000000002</v>
      </c>
      <c r="J98" s="36">
        <f t="shared" si="8"/>
        <v>15.200250000000002</v>
      </c>
      <c r="K98" s="37">
        <f t="shared" si="6"/>
        <v>486.4080000000001</v>
      </c>
      <c r="L98" s="31"/>
      <c r="M98" s="45">
        <f>+F98</f>
        <v>32</v>
      </c>
      <c r="N98" s="42" t="s">
        <v>35</v>
      </c>
      <c r="O98" s="36">
        <f>+I98</f>
        <v>11.300250000000002</v>
      </c>
      <c r="P98" s="37">
        <f t="shared" si="7"/>
        <v>361.60800000000006</v>
      </c>
      <c r="Q98" s="54"/>
      <c r="S98" s="110" t="str">
        <f>+E98</f>
        <v>Sheepswool 100mm thick</v>
      </c>
      <c r="T98" s="114">
        <f>+K98</f>
        <v>486.4080000000001</v>
      </c>
      <c r="U98" s="12"/>
      <c r="V98" s="12">
        <v>25</v>
      </c>
      <c r="W98" s="19">
        <f>ROUND(+IF(V98&gt;0,T98/V98,""),2)</f>
        <v>19.46</v>
      </c>
      <c r="X98" s="111"/>
    </row>
    <row r="99" spans="1:24" ht="12.75" outlineLevel="1">
      <c r="A99" s="60"/>
      <c r="B99" s="61"/>
      <c r="C99" s="64"/>
      <c r="D99" s="63"/>
      <c r="E99" s="38"/>
      <c r="F99" s="45"/>
      <c r="G99" s="42"/>
      <c r="H99" s="43"/>
      <c r="I99" s="43"/>
      <c r="J99" s="36">
        <f t="shared" si="8"/>
      </c>
      <c r="K99" s="37">
        <f t="shared" si="6"/>
      </c>
      <c r="L99" s="31"/>
      <c r="M99" s="45"/>
      <c r="N99" s="42"/>
      <c r="O99" s="36"/>
      <c r="P99" s="37">
        <f t="shared" si="7"/>
      </c>
      <c r="Q99" s="54"/>
      <c r="S99" s="110"/>
      <c r="T99" s="12"/>
      <c r="U99" s="12"/>
      <c r="V99" s="12"/>
      <c r="W99" s="19"/>
      <c r="X99" s="111"/>
    </row>
    <row r="100" spans="1:24" ht="12.75" outlineLevel="1">
      <c r="A100" s="60"/>
      <c r="B100" s="61"/>
      <c r="C100" s="64"/>
      <c r="D100" s="63"/>
      <c r="E100" s="38" t="s">
        <v>79</v>
      </c>
      <c r="F100" s="45">
        <f>+F94</f>
        <v>32</v>
      </c>
      <c r="G100" s="42" t="s">
        <v>35</v>
      </c>
      <c r="H100" s="43">
        <v>0.74</v>
      </c>
      <c r="I100" s="43"/>
      <c r="J100" s="36">
        <f t="shared" si="8"/>
        <v>22.2</v>
      </c>
      <c r="K100" s="37">
        <f t="shared" si="6"/>
        <v>710.4</v>
      </c>
      <c r="L100" s="31"/>
      <c r="M100" s="45">
        <f>+F100</f>
        <v>32</v>
      </c>
      <c r="N100" s="42" t="s">
        <v>35</v>
      </c>
      <c r="O100" s="36"/>
      <c r="P100" s="37">
        <f t="shared" si="7"/>
        <v>0</v>
      </c>
      <c r="Q100" s="54"/>
      <c r="S100" s="110" t="str">
        <f>+E100</f>
        <v>Refix boards</v>
      </c>
      <c r="T100" s="114">
        <f>+K100</f>
        <v>710.4</v>
      </c>
      <c r="U100" s="12"/>
      <c r="V100" s="12">
        <v>25</v>
      </c>
      <c r="W100" s="19">
        <f>ROUND(+IF(V100&gt;0,T100/V100,""),2)</f>
        <v>28.42</v>
      </c>
      <c r="X100" s="111"/>
    </row>
    <row r="101" spans="1:24" ht="12.75" outlineLevel="1">
      <c r="A101" s="60"/>
      <c r="B101" s="61"/>
      <c r="C101" s="64"/>
      <c r="D101" s="63"/>
      <c r="E101" s="38"/>
      <c r="F101" s="45"/>
      <c r="G101" s="42"/>
      <c r="H101" s="43"/>
      <c r="I101" s="43"/>
      <c r="J101" s="36">
        <f t="shared" si="8"/>
      </c>
      <c r="K101" s="37">
        <f t="shared" si="6"/>
      </c>
      <c r="L101" s="31"/>
      <c r="M101" s="45"/>
      <c r="N101" s="42"/>
      <c r="O101" s="36"/>
      <c r="P101" s="37">
        <f t="shared" si="7"/>
      </c>
      <c r="Q101" s="54"/>
      <c r="S101" s="110"/>
      <c r="T101" s="12"/>
      <c r="U101" s="12"/>
      <c r="V101" s="12"/>
      <c r="W101" s="19"/>
      <c r="X101" s="111"/>
    </row>
    <row r="102" spans="1:24" ht="24.75" customHeight="1" outlineLevel="1">
      <c r="A102" s="60"/>
      <c r="B102" s="61"/>
      <c r="C102" s="64"/>
      <c r="D102" s="63"/>
      <c r="E102" s="38" t="s">
        <v>80</v>
      </c>
      <c r="F102" s="45">
        <f>+F100*0.2</f>
        <v>6.4</v>
      </c>
      <c r="G102" s="42" t="s">
        <v>35</v>
      </c>
      <c r="H102" s="43"/>
      <c r="I102" s="43">
        <f>vicboards</f>
        <v>62.440191387559814</v>
      </c>
      <c r="J102" s="36">
        <f t="shared" si="8"/>
        <v>62.440191387559814</v>
      </c>
      <c r="K102" s="37">
        <f t="shared" si="6"/>
        <v>399.6172248803828</v>
      </c>
      <c r="L102" s="31"/>
      <c r="M102" s="45">
        <f>+F102</f>
        <v>6.4</v>
      </c>
      <c r="N102" s="42" t="s">
        <v>35</v>
      </c>
      <c r="O102" s="36">
        <f>+I102</f>
        <v>62.440191387559814</v>
      </c>
      <c r="P102" s="37">
        <f t="shared" si="7"/>
        <v>399.6172248803828</v>
      </c>
      <c r="Q102" s="54"/>
      <c r="S102" s="110" t="str">
        <f>+E102</f>
        <v>Allowance for new boards to replace breakages (20%)</v>
      </c>
      <c r="T102" s="114">
        <f>+K102</f>
        <v>399.6172248803828</v>
      </c>
      <c r="U102" s="12"/>
      <c r="V102" s="12">
        <v>25</v>
      </c>
      <c r="W102" s="19">
        <f>ROUND(+IF(V102&gt;0,T102/V102,""),2)</f>
        <v>15.98</v>
      </c>
      <c r="X102" s="111"/>
    </row>
    <row r="103" spans="1:24" ht="12.75" outlineLevel="1">
      <c r="A103" s="60"/>
      <c r="B103" s="61"/>
      <c r="C103" s="64"/>
      <c r="D103" s="63"/>
      <c r="E103" s="38"/>
      <c r="F103" s="33"/>
      <c r="G103" s="34"/>
      <c r="H103" s="39"/>
      <c r="I103" s="39"/>
      <c r="J103" s="36">
        <f t="shared" si="8"/>
      </c>
      <c r="K103" s="37">
        <f t="shared" si="6"/>
      </c>
      <c r="L103" s="31"/>
      <c r="M103" s="33"/>
      <c r="N103" s="34"/>
      <c r="O103" s="36"/>
      <c r="P103" s="37">
        <f t="shared" si="7"/>
      </c>
      <c r="Q103" s="54"/>
      <c r="S103" s="110"/>
      <c r="T103" s="12"/>
      <c r="U103" s="12"/>
      <c r="V103" s="12"/>
      <c r="W103" s="19"/>
      <c r="X103" s="111"/>
    </row>
    <row r="104" spans="1:24" ht="12.75" outlineLevel="1">
      <c r="A104" s="60"/>
      <c r="B104" s="61"/>
      <c r="C104" s="64"/>
      <c r="D104" s="63"/>
      <c r="E104" s="38" t="s">
        <v>75</v>
      </c>
      <c r="F104" s="45" t="s">
        <v>1</v>
      </c>
      <c r="G104" s="42"/>
      <c r="H104" s="43"/>
      <c r="I104" s="43"/>
      <c r="J104" s="36">
        <v>100</v>
      </c>
      <c r="K104" s="37">
        <f>+IF(F104="item",J104,IF(F104&lt;&gt;0,F104*J104,""))</f>
        <v>100</v>
      </c>
      <c r="L104" s="31"/>
      <c r="M104" s="45" t="str">
        <f>+F104</f>
        <v>Item</v>
      </c>
      <c r="N104" s="42"/>
      <c r="O104" s="36">
        <v>50</v>
      </c>
      <c r="P104" s="37">
        <f t="shared" si="7"/>
        <v>50</v>
      </c>
      <c r="Q104" s="54"/>
      <c r="S104" s="110" t="str">
        <f>+E104</f>
        <v>Sundry materials and tools (staples, etc)</v>
      </c>
      <c r="T104" s="114">
        <f>+K104</f>
        <v>100</v>
      </c>
      <c r="U104" s="12"/>
      <c r="V104" s="12">
        <v>25</v>
      </c>
      <c r="W104" s="19">
        <f>ROUND(+IF(V104&gt;0,T104/V104,""),2)</f>
        <v>4</v>
      </c>
      <c r="X104" s="111"/>
    </row>
    <row r="105" spans="1:24" ht="12.75" outlineLevel="1">
      <c r="A105" s="60"/>
      <c r="B105" s="61"/>
      <c r="C105" s="64"/>
      <c r="D105" s="63"/>
      <c r="E105" s="38"/>
      <c r="F105" s="45"/>
      <c r="G105" s="42"/>
      <c r="H105" s="43"/>
      <c r="I105" s="43"/>
      <c r="J105" s="36">
        <f>IF(+I105+H105&gt;0,I105+(H105*labour),"")</f>
      </c>
      <c r="K105" s="37">
        <f t="shared" si="6"/>
      </c>
      <c r="L105" s="31"/>
      <c r="M105" s="45"/>
      <c r="N105" s="42"/>
      <c r="O105" s="36"/>
      <c r="P105" s="37">
        <f t="shared" si="7"/>
      </c>
      <c r="Q105" s="54"/>
      <c r="S105" s="110"/>
      <c r="T105" s="12"/>
      <c r="U105" s="12"/>
      <c r="V105" s="12"/>
      <c r="W105" s="19"/>
      <c r="X105" s="111"/>
    </row>
    <row r="106" spans="1:24" ht="12.75" outlineLevel="1">
      <c r="A106" s="60"/>
      <c r="B106" s="61"/>
      <c r="C106" s="64"/>
      <c r="D106" s="63"/>
      <c r="E106" s="38" t="s">
        <v>78</v>
      </c>
      <c r="F106" s="45" t="s">
        <v>1</v>
      </c>
      <c r="G106" s="42"/>
      <c r="H106" s="43"/>
      <c r="I106" s="43"/>
      <c r="J106" s="36">
        <v>100</v>
      </c>
      <c r="K106" s="37">
        <f>+IF(F106="item",J106,IF(F106&lt;&gt;0,F106*J106,""))</f>
        <v>100</v>
      </c>
      <c r="L106" s="31"/>
      <c r="M106" s="33" t="str">
        <f>+F106</f>
        <v>Item</v>
      </c>
      <c r="N106" s="42"/>
      <c r="O106" s="36">
        <f>+J106</f>
        <v>100</v>
      </c>
      <c r="P106" s="37">
        <f t="shared" si="7"/>
        <v>100</v>
      </c>
      <c r="Q106" s="54"/>
      <c r="S106" s="110" t="str">
        <f>+E106</f>
        <v>Delivery of materials</v>
      </c>
      <c r="T106" s="114">
        <f>+K106</f>
        <v>100</v>
      </c>
      <c r="U106" s="12"/>
      <c r="V106" s="12">
        <v>25</v>
      </c>
      <c r="W106" s="19">
        <f>ROUND(+IF(V106&gt;0,T106/V106,""),2)</f>
        <v>4</v>
      </c>
      <c r="X106" s="111"/>
    </row>
    <row r="107" spans="1:24" ht="12.75" outlineLevel="1">
      <c r="A107" s="60"/>
      <c r="B107" s="61"/>
      <c r="C107" s="64"/>
      <c r="D107" s="63"/>
      <c r="E107" s="32"/>
      <c r="F107" s="33"/>
      <c r="G107" s="42"/>
      <c r="H107" s="43"/>
      <c r="I107" s="43"/>
      <c r="J107" s="36">
        <f>IF(+I107+H107&gt;0,I107+(H107*labour),"")</f>
      </c>
      <c r="K107" s="37">
        <f t="shared" si="6"/>
      </c>
      <c r="L107" s="31"/>
      <c r="M107" s="33"/>
      <c r="N107" s="42"/>
      <c r="O107" s="36"/>
      <c r="P107" s="37">
        <f t="shared" si="7"/>
      </c>
      <c r="Q107" s="54"/>
      <c r="S107" s="110"/>
      <c r="T107" s="12"/>
      <c r="U107" s="12"/>
      <c r="V107" s="12"/>
      <c r="W107" s="19"/>
      <c r="X107" s="111"/>
    </row>
    <row r="108" spans="1:24" ht="12.75">
      <c r="A108" s="60"/>
      <c r="B108" s="61"/>
      <c r="C108" s="64"/>
      <c r="D108" s="63"/>
      <c r="E108" s="38"/>
      <c r="F108" s="33"/>
      <c r="G108" s="42"/>
      <c r="H108" s="43"/>
      <c r="I108" s="43"/>
      <c r="J108" s="36">
        <f>IF(+I108+H108&gt;0,I108+(H108*labour),"")</f>
      </c>
      <c r="K108" s="37">
        <f t="shared" si="6"/>
      </c>
      <c r="L108" s="31"/>
      <c r="M108" s="33"/>
      <c r="N108" s="42"/>
      <c r="O108" s="36"/>
      <c r="P108" s="37">
        <f t="shared" si="7"/>
      </c>
      <c r="Q108" s="54"/>
      <c r="S108" s="110"/>
      <c r="T108" s="12"/>
      <c r="U108" s="12"/>
      <c r="V108" s="12"/>
      <c r="W108" s="19"/>
      <c r="X108" s="111"/>
    </row>
    <row r="109" spans="1:24" ht="12.75">
      <c r="A109" s="60"/>
      <c r="B109" s="61"/>
      <c r="C109" s="64"/>
      <c r="D109" s="63"/>
      <c r="E109" s="32" t="s">
        <v>96</v>
      </c>
      <c r="F109" s="33"/>
      <c r="G109" s="42"/>
      <c r="H109" s="43"/>
      <c r="I109" s="43"/>
      <c r="J109" s="36">
        <f>IF(+I109+H109&gt;0,I109+(H109*labour),"")</f>
      </c>
      <c r="K109" s="53">
        <f>SUM(K110:K111)</f>
        <v>5616.875000000001</v>
      </c>
      <c r="L109" s="31" t="s">
        <v>6</v>
      </c>
      <c r="M109" s="72"/>
      <c r="N109" s="73"/>
      <c r="O109" s="74"/>
      <c r="P109" s="75">
        <f t="shared" si="7"/>
      </c>
      <c r="Q109" s="76"/>
      <c r="S109" s="110" t="s">
        <v>262</v>
      </c>
      <c r="T109" s="114">
        <f>11*20</f>
        <v>220</v>
      </c>
      <c r="U109" s="12"/>
      <c r="V109" s="12">
        <v>10</v>
      </c>
      <c r="W109" s="112">
        <f>ROUND(+IF(V109&gt;0,T109/V109,""),2)</f>
        <v>22</v>
      </c>
      <c r="X109" s="111" t="s">
        <v>263</v>
      </c>
    </row>
    <row r="110" spans="1:24" ht="12.75">
      <c r="A110" s="60"/>
      <c r="B110" s="61"/>
      <c r="C110" s="64"/>
      <c r="D110" s="63"/>
      <c r="E110" s="38"/>
      <c r="F110" s="33"/>
      <c r="G110" s="34"/>
      <c r="H110" s="39"/>
      <c r="I110" s="39"/>
      <c r="J110" s="36">
        <f>IF(+I110+H110&gt;0,I110+(H110*labour),"")</f>
      </c>
      <c r="K110" s="37">
        <f t="shared" si="6"/>
      </c>
      <c r="L110" s="31"/>
      <c r="M110" s="72"/>
      <c r="N110" s="73"/>
      <c r="O110" s="74"/>
      <c r="P110" s="75">
        <f t="shared" si="7"/>
      </c>
      <c r="Q110" s="76"/>
      <c r="S110" s="110"/>
      <c r="T110" s="12"/>
      <c r="U110" s="12"/>
      <c r="V110" s="12"/>
      <c r="W110" s="19"/>
      <c r="X110" s="111"/>
    </row>
    <row r="111" spans="1:24" ht="38.25" outlineLevel="1">
      <c r="A111" s="60"/>
      <c r="B111" s="61"/>
      <c r="C111" s="64"/>
      <c r="D111" s="63"/>
      <c r="E111" s="38"/>
      <c r="F111" s="33">
        <v>11</v>
      </c>
      <c r="G111" s="42" t="s">
        <v>8</v>
      </c>
      <c r="H111" s="43"/>
      <c r="I111" s="43"/>
      <c r="J111" s="36">
        <f>sash</f>
        <v>510.62500000000006</v>
      </c>
      <c r="K111" s="37">
        <f t="shared" si="6"/>
        <v>5616.875000000001</v>
      </c>
      <c r="L111" s="31" t="s">
        <v>99</v>
      </c>
      <c r="M111" s="72"/>
      <c r="N111" s="73"/>
      <c r="O111" s="74"/>
      <c r="P111" s="75">
        <f t="shared" si="7"/>
      </c>
      <c r="Q111" s="76"/>
      <c r="S111" s="110"/>
      <c r="T111" s="12"/>
      <c r="U111" s="12"/>
      <c r="V111" s="12"/>
      <c r="W111" s="19"/>
      <c r="X111" s="111"/>
    </row>
    <row r="112" spans="1:24" ht="12.75" outlineLevel="1">
      <c r="A112" s="60"/>
      <c r="B112" s="61"/>
      <c r="C112" s="64"/>
      <c r="D112" s="63"/>
      <c r="E112" s="32"/>
      <c r="F112" s="33"/>
      <c r="G112" s="42"/>
      <c r="H112" s="43"/>
      <c r="I112" s="43"/>
      <c r="J112" s="36">
        <f>IF(+I112+H112&gt;0,I112+(H112*labour),"")</f>
      </c>
      <c r="K112" s="37">
        <f t="shared" si="6"/>
      </c>
      <c r="L112" s="31"/>
      <c r="M112" s="72"/>
      <c r="N112" s="73"/>
      <c r="O112" s="74"/>
      <c r="P112" s="75">
        <f t="shared" si="7"/>
      </c>
      <c r="Q112" s="76"/>
      <c r="S112" s="110"/>
      <c r="T112" s="12"/>
      <c r="U112" s="12"/>
      <c r="V112" s="12"/>
      <c r="W112" s="19"/>
      <c r="X112" s="111"/>
    </row>
    <row r="113" spans="1:24" ht="12.75">
      <c r="A113" s="60"/>
      <c r="B113" s="61"/>
      <c r="C113" s="64"/>
      <c r="D113" s="63"/>
      <c r="E113" s="38"/>
      <c r="F113" s="33"/>
      <c r="G113" s="42"/>
      <c r="H113" s="43"/>
      <c r="I113" s="43"/>
      <c r="J113" s="36">
        <f>IF(+I113+H113&gt;0,I113+(H113*labour),"")</f>
      </c>
      <c r="K113" s="37">
        <f t="shared" si="6"/>
      </c>
      <c r="L113" s="31"/>
      <c r="M113" s="33"/>
      <c r="N113" s="42"/>
      <c r="O113" s="36"/>
      <c r="P113" s="37">
        <f t="shared" si="7"/>
      </c>
      <c r="Q113" s="54"/>
      <c r="S113" s="110"/>
      <c r="T113" s="12"/>
      <c r="U113" s="12"/>
      <c r="V113" s="12"/>
      <c r="W113" s="19"/>
      <c r="X113" s="111"/>
    </row>
    <row r="114" spans="1:24" ht="38.25">
      <c r="A114" s="60"/>
      <c r="B114" s="61"/>
      <c r="C114" s="64"/>
      <c r="D114" s="63"/>
      <c r="E114" s="32" t="s">
        <v>100</v>
      </c>
      <c r="F114" s="33"/>
      <c r="G114" s="42"/>
      <c r="H114" s="43"/>
      <c r="I114" s="43"/>
      <c r="J114" s="36">
        <f>IF(+I114+H114&gt;0,I114+(H114*labour),"")</f>
      </c>
      <c r="K114" s="53">
        <f>1650*1.2</f>
        <v>1980</v>
      </c>
      <c r="L114" s="31" t="s">
        <v>103</v>
      </c>
      <c r="M114" s="72"/>
      <c r="N114" s="73"/>
      <c r="O114" s="74"/>
      <c r="P114" s="75">
        <f t="shared" si="7"/>
      </c>
      <c r="Q114" s="76"/>
      <c r="S114" s="110"/>
      <c r="T114" s="12"/>
      <c r="U114" s="12"/>
      <c r="V114" s="12"/>
      <c r="W114" s="19"/>
      <c r="X114" s="116" t="s">
        <v>264</v>
      </c>
    </row>
    <row r="115" spans="1:24" ht="12.75" outlineLevel="1">
      <c r="A115" s="60"/>
      <c r="B115" s="61"/>
      <c r="C115" s="64"/>
      <c r="D115" s="63"/>
      <c r="E115" s="38"/>
      <c r="F115" s="33"/>
      <c r="G115" s="42"/>
      <c r="H115" s="43"/>
      <c r="I115" s="43"/>
      <c r="J115" s="36">
        <f>IF(+I115+H115&gt;0,I115+(H115*labour),"")</f>
      </c>
      <c r="K115" s="37">
        <f t="shared" si="6"/>
      </c>
      <c r="L115" s="31" t="s">
        <v>174</v>
      </c>
      <c r="M115" s="72"/>
      <c r="N115" s="73"/>
      <c r="O115" s="74"/>
      <c r="P115" s="75">
        <f t="shared" si="7"/>
      </c>
      <c r="Q115" s="76"/>
      <c r="S115" s="110"/>
      <c r="T115" s="12"/>
      <c r="U115" s="12"/>
      <c r="V115" s="12"/>
      <c r="W115" s="19"/>
      <c r="X115" s="111"/>
    </row>
    <row r="116" spans="1:24" ht="12.75" outlineLevel="1">
      <c r="A116" s="60"/>
      <c r="B116" s="61"/>
      <c r="C116" s="64"/>
      <c r="D116" s="63"/>
      <c r="E116" s="38"/>
      <c r="F116" s="33"/>
      <c r="G116" s="42"/>
      <c r="H116" s="43"/>
      <c r="I116" s="43"/>
      <c r="J116" s="36">
        <f aca="true" t="shared" si="9" ref="J116:J128">IF(+I116+H116&gt;0,I116+(H116*labour),"")</f>
      </c>
      <c r="K116" s="37">
        <f t="shared" si="6"/>
      </c>
      <c r="L116" s="31"/>
      <c r="M116" s="72"/>
      <c r="N116" s="73"/>
      <c r="O116" s="74"/>
      <c r="P116" s="75">
        <f t="shared" si="7"/>
      </c>
      <c r="Q116" s="76"/>
      <c r="S116" s="110"/>
      <c r="T116" s="12"/>
      <c r="U116" s="12"/>
      <c r="V116" s="12"/>
      <c r="W116" s="19"/>
      <c r="X116" s="111"/>
    </row>
    <row r="117" spans="1:24" ht="12.75">
      <c r="A117" s="60"/>
      <c r="B117" s="61"/>
      <c r="C117" s="64"/>
      <c r="D117" s="63"/>
      <c r="E117" s="38"/>
      <c r="F117" s="33"/>
      <c r="G117" s="42"/>
      <c r="H117" s="43"/>
      <c r="I117" s="43"/>
      <c r="J117" s="36">
        <f t="shared" si="9"/>
      </c>
      <c r="K117" s="37">
        <f t="shared" si="6"/>
      </c>
      <c r="L117" s="31"/>
      <c r="M117" s="33"/>
      <c r="N117" s="42"/>
      <c r="O117" s="36"/>
      <c r="P117" s="37">
        <f t="shared" si="7"/>
      </c>
      <c r="Q117" s="54"/>
      <c r="S117" s="110"/>
      <c r="T117" s="12"/>
      <c r="U117" s="12"/>
      <c r="V117" s="12"/>
      <c r="W117" s="19"/>
      <c r="X117" s="111"/>
    </row>
    <row r="118" spans="1:24" ht="12.75">
      <c r="A118" s="60"/>
      <c r="B118" s="61"/>
      <c r="C118" s="64"/>
      <c r="D118" s="63"/>
      <c r="E118" s="38"/>
      <c r="F118" s="33"/>
      <c r="G118" s="42"/>
      <c r="H118" s="43"/>
      <c r="I118" s="43"/>
      <c r="J118" s="36">
        <f t="shared" si="9"/>
      </c>
      <c r="K118" s="37">
        <f t="shared" si="6"/>
      </c>
      <c r="L118" s="31"/>
      <c r="M118" s="33"/>
      <c r="N118" s="42"/>
      <c r="O118" s="36"/>
      <c r="P118" s="37">
        <f t="shared" si="7"/>
      </c>
      <c r="Q118" s="54"/>
      <c r="S118" s="110"/>
      <c r="T118" s="12"/>
      <c r="U118" s="12"/>
      <c r="V118" s="12"/>
      <c r="W118" s="19"/>
      <c r="X118" s="111"/>
    </row>
    <row r="119" spans="1:24" ht="12.75">
      <c r="A119" s="60"/>
      <c r="B119" s="61"/>
      <c r="C119" s="64"/>
      <c r="D119" s="63"/>
      <c r="E119" s="32" t="s">
        <v>104</v>
      </c>
      <c r="F119" s="33"/>
      <c r="G119" s="42"/>
      <c r="H119" s="43"/>
      <c r="I119" s="43"/>
      <c r="J119" s="36">
        <f t="shared" si="9"/>
      </c>
      <c r="K119" s="53">
        <f>SUM(K120:K129)</f>
        <v>1733.2240000000002</v>
      </c>
      <c r="L119" s="31"/>
      <c r="M119" s="33"/>
      <c r="N119" s="42"/>
      <c r="O119" s="36"/>
      <c r="P119" s="53">
        <f>SUM(P120:P129)</f>
        <v>707.1090909090909</v>
      </c>
      <c r="Q119" s="54"/>
      <c r="S119" s="110"/>
      <c r="T119" s="12"/>
      <c r="U119" s="12"/>
      <c r="V119" s="12"/>
      <c r="W119" s="112">
        <f>SUM(W120:W129)</f>
        <v>28.89</v>
      </c>
      <c r="X119" s="111"/>
    </row>
    <row r="120" spans="1:24" ht="12.75">
      <c r="A120" s="60"/>
      <c r="B120" s="61"/>
      <c r="C120" s="64"/>
      <c r="D120" s="63"/>
      <c r="E120" s="38"/>
      <c r="F120" s="33"/>
      <c r="G120" s="42"/>
      <c r="H120" s="43"/>
      <c r="I120" s="43"/>
      <c r="J120" s="36">
        <f t="shared" si="9"/>
      </c>
      <c r="K120" s="37">
        <f t="shared" si="6"/>
      </c>
      <c r="L120" s="31"/>
      <c r="M120" s="33"/>
      <c r="N120" s="42"/>
      <c r="O120" s="36"/>
      <c r="P120" s="37">
        <f t="shared" si="7"/>
      </c>
      <c r="Q120" s="54"/>
      <c r="S120" s="113" t="s">
        <v>257</v>
      </c>
      <c r="T120" s="12"/>
      <c r="U120" s="12"/>
      <c r="V120" s="12"/>
      <c r="W120" s="19"/>
      <c r="X120" s="111"/>
    </row>
    <row r="121" spans="1:24" ht="12.75" outlineLevel="1">
      <c r="A121" s="60"/>
      <c r="B121" s="61"/>
      <c r="C121" s="64"/>
      <c r="D121" s="63"/>
      <c r="E121" s="38" t="s">
        <v>62</v>
      </c>
      <c r="F121" s="33">
        <v>140</v>
      </c>
      <c r="G121" s="42" t="s">
        <v>35</v>
      </c>
      <c r="H121" s="43"/>
      <c r="I121" s="43">
        <f>+felt</f>
        <v>3.2016000000000004</v>
      </c>
      <c r="J121" s="36">
        <f t="shared" si="9"/>
        <v>3.2016000000000004</v>
      </c>
      <c r="K121" s="37">
        <f t="shared" si="6"/>
        <v>448.22400000000005</v>
      </c>
      <c r="L121" s="31"/>
      <c r="M121" s="33">
        <v>200</v>
      </c>
      <c r="N121" s="42" t="s">
        <v>35</v>
      </c>
      <c r="O121" s="36">
        <f>+I121/1.1</f>
        <v>2.9105454545454545</v>
      </c>
      <c r="P121" s="37">
        <f t="shared" si="7"/>
        <v>582.1090909090909</v>
      </c>
      <c r="Q121" s="54" t="s">
        <v>119</v>
      </c>
      <c r="S121" s="110" t="str">
        <f>+E121</f>
        <v>Underlay</v>
      </c>
      <c r="T121" s="114">
        <f>+K121</f>
        <v>448.22400000000005</v>
      </c>
      <c r="U121" s="12"/>
      <c r="V121" s="12">
        <v>60</v>
      </c>
      <c r="W121" s="19">
        <f>ROUND(+IF(V121&gt;0,T121/V121,""),2)</f>
        <v>7.47</v>
      </c>
      <c r="X121" s="111"/>
    </row>
    <row r="122" spans="1:24" ht="12.75" outlineLevel="1">
      <c r="A122" s="60"/>
      <c r="B122" s="61"/>
      <c r="C122" s="64"/>
      <c r="D122" s="63"/>
      <c r="E122" s="38"/>
      <c r="F122" s="33"/>
      <c r="G122" s="42"/>
      <c r="H122" s="43"/>
      <c r="I122" s="43"/>
      <c r="J122" s="36">
        <f t="shared" si="9"/>
      </c>
      <c r="K122" s="37">
        <f t="shared" si="6"/>
      </c>
      <c r="L122" s="31"/>
      <c r="M122" s="33"/>
      <c r="N122" s="42"/>
      <c r="O122" s="36"/>
      <c r="P122" s="37">
        <f t="shared" si="7"/>
      </c>
      <c r="Q122" s="54"/>
      <c r="S122" s="110"/>
      <c r="T122" s="12"/>
      <c r="U122" s="12"/>
      <c r="V122" s="12"/>
      <c r="W122" s="19"/>
      <c r="X122" s="111"/>
    </row>
    <row r="123" spans="1:24" ht="12.75" outlineLevel="1">
      <c r="A123" s="60"/>
      <c r="B123" s="61"/>
      <c r="C123" s="64"/>
      <c r="D123" s="63"/>
      <c r="E123" s="38" t="s">
        <v>107</v>
      </c>
      <c r="F123" s="33">
        <v>50</v>
      </c>
      <c r="G123" s="42" t="s">
        <v>108</v>
      </c>
      <c r="H123" s="43"/>
      <c r="I123" s="43">
        <v>0.5</v>
      </c>
      <c r="J123" s="36">
        <f t="shared" si="9"/>
        <v>0.5</v>
      </c>
      <c r="K123" s="37">
        <f t="shared" si="6"/>
        <v>25</v>
      </c>
      <c r="L123" s="31"/>
      <c r="M123" s="33">
        <f>+F123</f>
        <v>50</v>
      </c>
      <c r="N123" s="42"/>
      <c r="O123" s="36">
        <f>+I123</f>
        <v>0.5</v>
      </c>
      <c r="P123" s="37">
        <f t="shared" si="7"/>
        <v>25</v>
      </c>
      <c r="Q123" s="54"/>
      <c r="S123" s="110" t="str">
        <f>+E123</f>
        <v>Battens</v>
      </c>
      <c r="T123" s="114">
        <f>+K123</f>
        <v>25</v>
      </c>
      <c r="U123" s="12"/>
      <c r="V123" s="12">
        <v>60</v>
      </c>
      <c r="W123" s="19">
        <f>ROUND(+IF(V123&gt;0,T123/V123,""),2)</f>
        <v>0.42</v>
      </c>
      <c r="X123" s="111"/>
    </row>
    <row r="124" spans="1:24" ht="12.75" outlineLevel="1">
      <c r="A124" s="60"/>
      <c r="B124" s="61"/>
      <c r="C124" s="64"/>
      <c r="D124" s="63"/>
      <c r="E124" s="38"/>
      <c r="F124" s="33"/>
      <c r="G124" s="42"/>
      <c r="H124" s="43"/>
      <c r="I124" s="43"/>
      <c r="J124" s="36">
        <f t="shared" si="9"/>
      </c>
      <c r="K124" s="37">
        <f t="shared" si="6"/>
      </c>
      <c r="L124" s="31"/>
      <c r="M124" s="33"/>
      <c r="N124" s="42"/>
      <c r="O124" s="36"/>
      <c r="P124" s="37">
        <f t="shared" si="7"/>
      </c>
      <c r="Q124" s="54"/>
      <c r="S124" s="110"/>
      <c r="T124" s="12"/>
      <c r="U124" s="12"/>
      <c r="V124" s="12"/>
      <c r="W124" s="19"/>
      <c r="X124" s="111"/>
    </row>
    <row r="125" spans="1:24" ht="12.75" outlineLevel="1">
      <c r="A125" s="60"/>
      <c r="B125" s="61"/>
      <c r="C125" s="64"/>
      <c r="D125" s="63"/>
      <c r="E125" s="38" t="s">
        <v>109</v>
      </c>
      <c r="F125" s="33" t="s">
        <v>1</v>
      </c>
      <c r="G125" s="42"/>
      <c r="H125" s="43"/>
      <c r="I125" s="43">
        <v>50</v>
      </c>
      <c r="J125" s="36">
        <f t="shared" si="9"/>
        <v>50</v>
      </c>
      <c r="K125" s="37">
        <f t="shared" si="6"/>
        <v>50</v>
      </c>
      <c r="L125" s="31"/>
      <c r="M125" s="33" t="str">
        <f>+F125</f>
        <v>Item</v>
      </c>
      <c r="N125" s="42"/>
      <c r="O125" s="36">
        <f>+I125</f>
        <v>50</v>
      </c>
      <c r="P125" s="37">
        <f t="shared" si="7"/>
        <v>50</v>
      </c>
      <c r="Q125" s="54"/>
      <c r="S125" s="110" t="str">
        <f>+E125</f>
        <v>Caulk, staples, sundry materials</v>
      </c>
      <c r="T125" s="114">
        <f>+K125</f>
        <v>50</v>
      </c>
      <c r="U125" s="12"/>
      <c r="V125" s="12">
        <v>60</v>
      </c>
      <c r="W125" s="19">
        <f>ROUND(+IF(V125&gt;0,T125/V125,""),2)</f>
        <v>0.83</v>
      </c>
      <c r="X125" s="111"/>
    </row>
    <row r="126" spans="1:24" ht="12.75" outlineLevel="1">
      <c r="A126" s="60"/>
      <c r="B126" s="61"/>
      <c r="C126" s="64"/>
      <c r="D126" s="63"/>
      <c r="E126" s="38"/>
      <c r="F126" s="33"/>
      <c r="G126" s="42"/>
      <c r="H126" s="43"/>
      <c r="I126" s="43"/>
      <c r="J126" s="36">
        <f t="shared" si="9"/>
      </c>
      <c r="K126" s="37">
        <f t="shared" si="6"/>
      </c>
      <c r="L126" s="31"/>
      <c r="M126" s="33"/>
      <c r="N126" s="42"/>
      <c r="O126" s="36"/>
      <c r="P126" s="37">
        <f t="shared" si="7"/>
      </c>
      <c r="Q126" s="54"/>
      <c r="S126" s="110"/>
      <c r="T126" s="12"/>
      <c r="U126" s="12"/>
      <c r="V126" s="12"/>
      <c r="W126" s="19"/>
      <c r="X126" s="111"/>
    </row>
    <row r="127" spans="1:24" ht="12.75" outlineLevel="1">
      <c r="A127" s="60"/>
      <c r="B127" s="61"/>
      <c r="C127" s="64"/>
      <c r="D127" s="63"/>
      <c r="E127" s="38" t="s">
        <v>4</v>
      </c>
      <c r="F127" s="33">
        <v>4</v>
      </c>
      <c r="G127" s="42" t="s">
        <v>110</v>
      </c>
      <c r="H127" s="43">
        <v>8</v>
      </c>
      <c r="I127" s="43"/>
      <c r="J127" s="36">
        <f t="shared" si="9"/>
        <v>240</v>
      </c>
      <c r="K127" s="37">
        <f t="shared" si="6"/>
        <v>960</v>
      </c>
      <c r="L127" s="31" t="s">
        <v>111</v>
      </c>
      <c r="M127" s="33"/>
      <c r="N127" s="42"/>
      <c r="O127" s="36"/>
      <c r="P127" s="37">
        <f t="shared" si="7"/>
      </c>
      <c r="Q127" s="54"/>
      <c r="S127" s="110" t="str">
        <f>+E127</f>
        <v>Labour</v>
      </c>
      <c r="T127" s="114">
        <f>+K127</f>
        <v>960</v>
      </c>
      <c r="U127" s="12"/>
      <c r="V127" s="12">
        <v>60</v>
      </c>
      <c r="W127" s="19">
        <f>ROUND(+IF(V127&gt;0,T127/V127,""),2)</f>
        <v>16</v>
      </c>
      <c r="X127" s="111"/>
    </row>
    <row r="128" spans="1:24" ht="12.75" outlineLevel="1">
      <c r="A128" s="60"/>
      <c r="B128" s="61"/>
      <c r="C128" s="64"/>
      <c r="D128" s="63"/>
      <c r="E128" s="38"/>
      <c r="F128" s="33"/>
      <c r="G128" s="42"/>
      <c r="H128" s="43"/>
      <c r="I128" s="43"/>
      <c r="J128" s="36">
        <f t="shared" si="9"/>
      </c>
      <c r="K128" s="37">
        <f t="shared" si="6"/>
      </c>
      <c r="L128" s="31"/>
      <c r="M128" s="33"/>
      <c r="N128" s="42"/>
      <c r="O128" s="36"/>
      <c r="P128" s="37">
        <f t="shared" si="7"/>
      </c>
      <c r="Q128" s="54"/>
      <c r="S128" s="110"/>
      <c r="T128" s="12"/>
      <c r="U128" s="12"/>
      <c r="V128" s="12"/>
      <c r="W128" s="19"/>
      <c r="X128" s="111"/>
    </row>
    <row r="129" spans="1:24" ht="12.75" outlineLevel="1">
      <c r="A129" s="60"/>
      <c r="B129" s="61"/>
      <c r="C129" s="64"/>
      <c r="D129" s="63"/>
      <c r="E129" s="38" t="s">
        <v>112</v>
      </c>
      <c r="F129" s="33" t="s">
        <v>1</v>
      </c>
      <c r="G129" s="42"/>
      <c r="H129" s="43"/>
      <c r="I129" s="43"/>
      <c r="J129" s="36">
        <v>250</v>
      </c>
      <c r="K129" s="37">
        <f t="shared" si="6"/>
        <v>250</v>
      </c>
      <c r="L129" s="31"/>
      <c r="M129" s="33" t="s">
        <v>1</v>
      </c>
      <c r="N129" s="42"/>
      <c r="O129" s="36">
        <v>50</v>
      </c>
      <c r="P129" s="37">
        <f t="shared" si="7"/>
        <v>50</v>
      </c>
      <c r="Q129" s="54"/>
      <c r="S129" s="110" t="str">
        <f>+E129</f>
        <v>Allow for temporary boarding/ access</v>
      </c>
      <c r="T129" s="114">
        <f>+K129</f>
        <v>250</v>
      </c>
      <c r="U129" s="12"/>
      <c r="V129" s="12">
        <v>60</v>
      </c>
      <c r="W129" s="19">
        <f>ROUND(+IF(V129&gt;0,T129/V129,""),2)</f>
        <v>4.17</v>
      </c>
      <c r="X129" s="111"/>
    </row>
    <row r="130" spans="1:24" ht="12.75">
      <c r="A130" s="60"/>
      <c r="B130" s="61"/>
      <c r="C130" s="64"/>
      <c r="D130" s="63"/>
      <c r="E130" s="38"/>
      <c r="F130" s="33"/>
      <c r="G130" s="42"/>
      <c r="H130" s="43"/>
      <c r="I130" s="43"/>
      <c r="J130" s="36">
        <f aca="true" t="shared" si="10" ref="J130:J137">IF(+I130+H130&gt;0,I130+(H130*labour),"")</f>
      </c>
      <c r="K130" s="37">
        <f t="shared" si="6"/>
      </c>
      <c r="L130" s="31"/>
      <c r="M130" s="33"/>
      <c r="N130" s="42"/>
      <c r="O130" s="36"/>
      <c r="P130" s="37">
        <f t="shared" si="7"/>
      </c>
      <c r="Q130" s="54"/>
      <c r="S130" s="110"/>
      <c r="T130" s="12"/>
      <c r="U130" s="12"/>
      <c r="V130" s="12"/>
      <c r="W130" s="19"/>
      <c r="X130" s="111"/>
    </row>
    <row r="131" spans="1:24" ht="12.75">
      <c r="A131" s="60"/>
      <c r="B131" s="61"/>
      <c r="C131" s="64"/>
      <c r="D131" s="63"/>
      <c r="E131" s="38"/>
      <c r="F131" s="33"/>
      <c r="G131" s="42"/>
      <c r="H131" s="43"/>
      <c r="I131" s="43"/>
      <c r="J131" s="36">
        <f t="shared" si="10"/>
      </c>
      <c r="K131" s="37">
        <f t="shared" si="6"/>
      </c>
      <c r="L131" s="31"/>
      <c r="M131" s="33"/>
      <c r="N131" s="42"/>
      <c r="O131" s="36"/>
      <c r="P131" s="37">
        <f t="shared" si="7"/>
      </c>
      <c r="Q131" s="54"/>
      <c r="S131" s="110"/>
      <c r="T131" s="12"/>
      <c r="U131" s="12"/>
      <c r="V131" s="12"/>
      <c r="W131" s="19"/>
      <c r="X131" s="111"/>
    </row>
    <row r="132" spans="1:24" ht="15.75">
      <c r="A132" s="60"/>
      <c r="B132" s="61"/>
      <c r="C132" s="64"/>
      <c r="D132" s="63"/>
      <c r="E132" s="78" t="s">
        <v>113</v>
      </c>
      <c r="F132" s="79"/>
      <c r="G132" s="80"/>
      <c r="H132" s="81"/>
      <c r="I132" s="81"/>
      <c r="J132" s="82">
        <f t="shared" si="10"/>
      </c>
      <c r="K132" s="83">
        <f t="shared" si="6"/>
      </c>
      <c r="L132" s="84"/>
      <c r="M132" s="79"/>
      <c r="N132" s="80"/>
      <c r="O132" s="82"/>
      <c r="P132" s="83">
        <f t="shared" si="7"/>
      </c>
      <c r="Q132" s="85"/>
      <c r="R132" s="89"/>
      <c r="S132" s="117"/>
      <c r="T132" s="118"/>
      <c r="U132" s="118"/>
      <c r="V132" s="118"/>
      <c r="W132" s="119"/>
      <c r="X132" s="120"/>
    </row>
    <row r="133" spans="1:24" ht="12.75">
      <c r="A133" s="60"/>
      <c r="B133" s="61"/>
      <c r="C133" s="64"/>
      <c r="D133" s="63"/>
      <c r="E133" s="38"/>
      <c r="F133" s="33"/>
      <c r="G133" s="42"/>
      <c r="H133" s="43"/>
      <c r="I133" s="43"/>
      <c r="J133" s="36">
        <f t="shared" si="10"/>
      </c>
      <c r="K133" s="37">
        <f t="shared" si="6"/>
      </c>
      <c r="L133" s="31"/>
      <c r="M133" s="33"/>
      <c r="N133" s="42"/>
      <c r="O133" s="36"/>
      <c r="P133" s="37">
        <f t="shared" si="7"/>
      </c>
      <c r="Q133" s="54"/>
      <c r="S133" s="110"/>
      <c r="T133" s="12"/>
      <c r="U133" s="12"/>
      <c r="V133" s="12"/>
      <c r="W133" s="19"/>
      <c r="X133" s="111"/>
    </row>
    <row r="134" spans="1:24" ht="12.75">
      <c r="A134" s="60"/>
      <c r="B134" s="61"/>
      <c r="C134" s="64"/>
      <c r="D134" s="63"/>
      <c r="E134" s="77" t="s">
        <v>114</v>
      </c>
      <c r="F134" s="33"/>
      <c r="G134" s="42"/>
      <c r="H134" s="43"/>
      <c r="I134" s="43"/>
      <c r="J134" s="36">
        <f t="shared" si="10"/>
      </c>
      <c r="K134" s="53">
        <f>SUM(K136:K138)</f>
        <v>125.034</v>
      </c>
      <c r="L134" s="31"/>
      <c r="M134" s="72"/>
      <c r="N134" s="73"/>
      <c r="O134" s="74"/>
      <c r="P134" s="75">
        <f t="shared" si="7"/>
      </c>
      <c r="Q134" s="76"/>
      <c r="S134" s="110"/>
      <c r="T134" s="12"/>
      <c r="U134" s="12"/>
      <c r="V134" s="12"/>
      <c r="W134" s="112">
        <f>SUM(W135:W138)</f>
        <v>5</v>
      </c>
      <c r="X134" s="111"/>
    </row>
    <row r="135" spans="1:24" ht="12.75">
      <c r="A135" s="60"/>
      <c r="B135" s="61"/>
      <c r="C135" s="64"/>
      <c r="D135" s="63"/>
      <c r="E135" s="38"/>
      <c r="F135" s="33"/>
      <c r="G135" s="42"/>
      <c r="H135" s="43"/>
      <c r="I135" s="43"/>
      <c r="J135" s="36">
        <f t="shared" si="10"/>
      </c>
      <c r="K135" s="37">
        <f t="shared" si="6"/>
      </c>
      <c r="L135" s="31"/>
      <c r="M135" s="72"/>
      <c r="N135" s="73"/>
      <c r="O135" s="74"/>
      <c r="P135" s="75">
        <f t="shared" si="7"/>
      </c>
      <c r="Q135" s="76"/>
      <c r="S135" s="113" t="s">
        <v>257</v>
      </c>
      <c r="T135" s="12"/>
      <c r="U135" s="12"/>
      <c r="V135" s="12"/>
      <c r="W135" s="19"/>
      <c r="X135" s="111"/>
    </row>
    <row r="136" spans="1:24" ht="12.75" outlineLevel="1">
      <c r="A136" s="60"/>
      <c r="B136" s="61"/>
      <c r="C136" s="64"/>
      <c r="D136" s="63"/>
      <c r="E136" s="38" t="s">
        <v>115</v>
      </c>
      <c r="F136" s="33">
        <v>2</v>
      </c>
      <c r="G136" s="42" t="s">
        <v>8</v>
      </c>
      <c r="H136" s="43">
        <v>1</v>
      </c>
      <c r="I136" s="43">
        <f>PIR</f>
        <v>30.017000000000003</v>
      </c>
      <c r="J136" s="36">
        <f t="shared" si="10"/>
        <v>60.017</v>
      </c>
      <c r="K136" s="37">
        <f t="shared" si="6"/>
        <v>120.034</v>
      </c>
      <c r="L136" s="31" t="s">
        <v>118</v>
      </c>
      <c r="M136" s="72"/>
      <c r="N136" s="73"/>
      <c r="O136" s="74"/>
      <c r="P136" s="75">
        <f t="shared" si="7"/>
      </c>
      <c r="Q136" s="76"/>
      <c r="S136" s="110" t="str">
        <f>+E136</f>
        <v>Timeguard ZV810</v>
      </c>
      <c r="T136" s="114">
        <f>+K136</f>
        <v>120.034</v>
      </c>
      <c r="U136" s="12"/>
      <c r="V136" s="12">
        <v>25</v>
      </c>
      <c r="W136" s="19">
        <f>ROUND(+IF(V136&gt;0,T136/V136,""),2)</f>
        <v>4.8</v>
      </c>
      <c r="X136" s="111"/>
    </row>
    <row r="137" spans="1:24" ht="12.75" outlineLevel="1">
      <c r="A137" s="60"/>
      <c r="B137" s="61"/>
      <c r="C137" s="64"/>
      <c r="D137" s="63"/>
      <c r="E137" s="38"/>
      <c r="F137" s="33"/>
      <c r="G137" s="42"/>
      <c r="H137" s="43"/>
      <c r="I137" s="43"/>
      <c r="J137" s="36">
        <f t="shared" si="10"/>
      </c>
      <c r="K137" s="37">
        <f t="shared" si="6"/>
      </c>
      <c r="L137" s="31"/>
      <c r="M137" s="72"/>
      <c r="N137" s="73"/>
      <c r="O137" s="74"/>
      <c r="P137" s="75">
        <f t="shared" si="7"/>
      </c>
      <c r="Q137" s="76"/>
      <c r="S137" s="110"/>
      <c r="T137" s="12"/>
      <c r="U137" s="12"/>
      <c r="V137" s="12"/>
      <c r="W137" s="19"/>
      <c r="X137" s="111"/>
    </row>
    <row r="138" spans="1:24" ht="12.75" outlineLevel="1">
      <c r="A138" s="60"/>
      <c r="B138" s="61"/>
      <c r="C138" s="64"/>
      <c r="D138" s="63"/>
      <c r="E138" s="38" t="s">
        <v>7</v>
      </c>
      <c r="F138" s="33" t="s">
        <v>1</v>
      </c>
      <c r="G138" s="42"/>
      <c r="H138" s="43"/>
      <c r="I138" s="43"/>
      <c r="J138" s="36">
        <v>5</v>
      </c>
      <c r="K138" s="37">
        <f t="shared" si="6"/>
        <v>5</v>
      </c>
      <c r="L138" s="31"/>
      <c r="M138" s="72"/>
      <c r="N138" s="73"/>
      <c r="O138" s="74"/>
      <c r="P138" s="75">
        <f t="shared" si="7"/>
      </c>
      <c r="Q138" s="76"/>
      <c r="S138" s="110" t="str">
        <f>+E138</f>
        <v>Delivery</v>
      </c>
      <c r="T138" s="114">
        <f>+K138</f>
        <v>5</v>
      </c>
      <c r="U138" s="12"/>
      <c r="V138" s="12">
        <v>25</v>
      </c>
      <c r="W138" s="19">
        <f>ROUND(+IF(V138&gt;0,T138/V138,""),2)</f>
        <v>0.2</v>
      </c>
      <c r="X138" s="111"/>
    </row>
    <row r="139" spans="1:24" ht="12.75">
      <c r="A139" s="60"/>
      <c r="B139" s="61"/>
      <c r="C139" s="64"/>
      <c r="D139" s="63"/>
      <c r="E139" s="38"/>
      <c r="F139" s="33"/>
      <c r="G139" s="42"/>
      <c r="H139" s="43"/>
      <c r="I139" s="43"/>
      <c r="J139" s="36">
        <f>IF(+I139+H139&gt;0,I139+(H139*labour),"")</f>
      </c>
      <c r="K139" s="37">
        <f aca="true" t="shared" si="11" ref="K139:K441">+IF(F139="item",J139,IF(F139&lt;&gt;0,F139*J139,""))</f>
      </c>
      <c r="L139" s="31"/>
      <c r="M139" s="33"/>
      <c r="N139" s="42"/>
      <c r="O139" s="36"/>
      <c r="P139" s="37">
        <f t="shared" si="7"/>
      </c>
      <c r="Q139" s="54"/>
      <c r="S139" s="110"/>
      <c r="T139" s="12"/>
      <c r="U139" s="12"/>
      <c r="V139" s="12"/>
      <c r="W139" s="19"/>
      <c r="X139" s="111"/>
    </row>
    <row r="140" spans="1:24" ht="12.75">
      <c r="A140" s="60"/>
      <c r="B140" s="61"/>
      <c r="C140" s="64"/>
      <c r="D140" s="63"/>
      <c r="E140" s="38"/>
      <c r="F140" s="33"/>
      <c r="G140" s="42"/>
      <c r="H140" s="43"/>
      <c r="I140" s="43"/>
      <c r="J140" s="36">
        <f>IF(+I140+H140&gt;0,I140+(H140*labour),"")</f>
      </c>
      <c r="K140" s="37">
        <f t="shared" si="11"/>
      </c>
      <c r="L140" s="31"/>
      <c r="M140" s="33"/>
      <c r="N140" s="42"/>
      <c r="O140" s="36"/>
      <c r="P140" s="37">
        <f t="shared" si="7"/>
      </c>
      <c r="Q140" s="54"/>
      <c r="S140" s="110"/>
      <c r="T140" s="12"/>
      <c r="U140" s="12"/>
      <c r="V140" s="12"/>
      <c r="W140" s="19"/>
      <c r="X140" s="111"/>
    </row>
    <row r="141" spans="1:24" ht="25.5">
      <c r="A141" s="60"/>
      <c r="B141" s="61"/>
      <c r="C141" s="64"/>
      <c r="D141" s="63"/>
      <c r="E141" s="77" t="s">
        <v>120</v>
      </c>
      <c r="F141" s="33"/>
      <c r="G141" s="42"/>
      <c r="H141" s="43"/>
      <c r="I141" s="43"/>
      <c r="J141" s="36">
        <f>IF(+I141+H141&gt;0,I141+(H141*labour),"")</f>
      </c>
      <c r="K141" s="53">
        <f>SUM(K142:K147)</f>
        <v>295.725</v>
      </c>
      <c r="L141" s="31"/>
      <c r="M141" s="33"/>
      <c r="N141" s="42"/>
      <c r="O141" s="36"/>
      <c r="P141" s="53">
        <f>SUM(P142:P147)</f>
        <v>175.725</v>
      </c>
      <c r="Q141" s="54"/>
      <c r="S141" s="110"/>
      <c r="T141" s="12"/>
      <c r="U141" s="12"/>
      <c r="V141" s="12"/>
      <c r="W141" s="112"/>
      <c r="X141" s="116" t="s">
        <v>265</v>
      </c>
    </row>
    <row r="142" spans="1:24" ht="12.75">
      <c r="A142" s="60"/>
      <c r="B142" s="61"/>
      <c r="C142" s="64"/>
      <c r="D142" s="63"/>
      <c r="E142" s="44"/>
      <c r="F142" s="33"/>
      <c r="G142" s="42"/>
      <c r="H142" s="43"/>
      <c r="I142" s="43"/>
      <c r="J142" s="36">
        <f>IF(+I142+H142&gt;0,I142+(H142*labour),"")</f>
      </c>
      <c r="K142" s="37">
        <f t="shared" si="11"/>
      </c>
      <c r="L142" s="31"/>
      <c r="M142" s="33"/>
      <c r="N142" s="42"/>
      <c r="O142" s="36"/>
      <c r="P142" s="37">
        <f t="shared" si="7"/>
      </c>
      <c r="Q142" s="54"/>
      <c r="S142" s="113"/>
      <c r="T142" s="12"/>
      <c r="U142" s="12"/>
      <c r="V142" s="12"/>
      <c r="W142" s="19"/>
      <c r="X142" s="111"/>
    </row>
    <row r="143" spans="1:24" ht="12.75" outlineLevel="1">
      <c r="A143" s="60"/>
      <c r="B143" s="61"/>
      <c r="C143" s="64"/>
      <c r="D143" s="63"/>
      <c r="E143" s="44" t="s">
        <v>121</v>
      </c>
      <c r="F143" s="33">
        <v>1</v>
      </c>
      <c r="G143" s="42" t="s">
        <v>8</v>
      </c>
      <c r="H143" s="43">
        <v>4</v>
      </c>
      <c r="I143" s="43">
        <f>register250</f>
        <v>140.725</v>
      </c>
      <c r="J143" s="36">
        <f>IF(+I143+H143&gt;0,I143+(H143*labour),"")</f>
        <v>260.725</v>
      </c>
      <c r="K143" s="37">
        <f t="shared" si="11"/>
        <v>260.725</v>
      </c>
      <c r="L143" s="31" t="s">
        <v>124</v>
      </c>
      <c r="M143" s="33">
        <f>+F143</f>
        <v>1</v>
      </c>
      <c r="N143" s="42"/>
      <c r="O143" s="36">
        <f>+I143</f>
        <v>140.725</v>
      </c>
      <c r="P143" s="37">
        <f t="shared" si="7"/>
        <v>140.725</v>
      </c>
      <c r="Q143" s="54"/>
      <c r="S143" s="110"/>
      <c r="T143" s="114"/>
      <c r="U143" s="12"/>
      <c r="V143" s="12"/>
      <c r="W143" s="19"/>
      <c r="X143" s="111"/>
    </row>
    <row r="144" spans="1:24" ht="12.75" outlineLevel="1">
      <c r="A144" s="60"/>
      <c r="B144" s="61"/>
      <c r="C144" s="64"/>
      <c r="D144" s="63"/>
      <c r="E144" s="44"/>
      <c r="F144" s="33"/>
      <c r="G144" s="42"/>
      <c r="H144" s="43"/>
      <c r="I144" s="43"/>
      <c r="J144" s="36"/>
      <c r="K144" s="37">
        <f t="shared" si="11"/>
      </c>
      <c r="L144" s="31"/>
      <c r="M144" s="33"/>
      <c r="N144" s="42"/>
      <c r="O144" s="36"/>
      <c r="P144" s="37">
        <f t="shared" si="7"/>
      </c>
      <c r="Q144" s="54"/>
      <c r="S144" s="110"/>
      <c r="T144" s="12"/>
      <c r="U144" s="12"/>
      <c r="V144" s="12"/>
      <c r="W144" s="19"/>
      <c r="X144" s="111"/>
    </row>
    <row r="145" spans="1:24" ht="12.75" outlineLevel="1">
      <c r="A145" s="60"/>
      <c r="B145" s="61"/>
      <c r="C145" s="64"/>
      <c r="D145" s="63"/>
      <c r="E145" s="44" t="s">
        <v>125</v>
      </c>
      <c r="F145" s="33">
        <v>1</v>
      </c>
      <c r="G145" s="42" t="s">
        <v>8</v>
      </c>
      <c r="H145" s="43"/>
      <c r="I145" s="43"/>
      <c r="J145" s="36">
        <v>25</v>
      </c>
      <c r="K145" s="37">
        <f t="shared" si="11"/>
        <v>25</v>
      </c>
      <c r="L145" s="31"/>
      <c r="M145" s="33">
        <v>1</v>
      </c>
      <c r="N145" s="42" t="s">
        <v>8</v>
      </c>
      <c r="O145" s="36">
        <f>+J145</f>
        <v>25</v>
      </c>
      <c r="P145" s="37">
        <f t="shared" si="7"/>
        <v>25</v>
      </c>
      <c r="Q145" s="54"/>
      <c r="S145" s="110"/>
      <c r="T145" s="114"/>
      <c r="U145" s="12"/>
      <c r="V145" s="12"/>
      <c r="W145" s="19"/>
      <c r="X145" s="111"/>
    </row>
    <row r="146" spans="1:24" ht="12.75" outlineLevel="1">
      <c r="A146" s="60"/>
      <c r="B146" s="61"/>
      <c r="C146" s="64"/>
      <c r="D146" s="63"/>
      <c r="E146" s="44"/>
      <c r="F146" s="33"/>
      <c r="G146" s="42"/>
      <c r="H146" s="43"/>
      <c r="I146" s="43"/>
      <c r="J146" s="36">
        <f>IF(+I146+H146&gt;0,I146+(H146*labour),"")</f>
      </c>
      <c r="K146" s="37">
        <f t="shared" si="11"/>
      </c>
      <c r="L146" s="31"/>
      <c r="M146" s="33"/>
      <c r="N146" s="42"/>
      <c r="O146" s="36"/>
      <c r="P146" s="37">
        <f t="shared" si="7"/>
      </c>
      <c r="Q146" s="54"/>
      <c r="S146" s="110"/>
      <c r="T146" s="12"/>
      <c r="U146" s="12"/>
      <c r="V146" s="12"/>
      <c r="W146" s="19"/>
      <c r="X146" s="111"/>
    </row>
    <row r="147" spans="1:24" ht="12.75" outlineLevel="1">
      <c r="A147" s="60"/>
      <c r="B147" s="61"/>
      <c r="C147" s="64"/>
      <c r="D147" s="63"/>
      <c r="E147" s="44" t="s">
        <v>7</v>
      </c>
      <c r="F147" s="33">
        <v>1</v>
      </c>
      <c r="G147" s="42" t="s">
        <v>8</v>
      </c>
      <c r="H147" s="43"/>
      <c r="I147" s="43"/>
      <c r="J147" s="36">
        <v>10</v>
      </c>
      <c r="K147" s="37">
        <f t="shared" si="11"/>
        <v>10</v>
      </c>
      <c r="L147" s="31"/>
      <c r="M147" s="33">
        <v>1</v>
      </c>
      <c r="N147" s="42" t="s">
        <v>8</v>
      </c>
      <c r="O147" s="36">
        <f>+J147</f>
        <v>10</v>
      </c>
      <c r="P147" s="37">
        <f t="shared" si="7"/>
        <v>10</v>
      </c>
      <c r="Q147" s="54"/>
      <c r="S147" s="110"/>
      <c r="T147" s="114"/>
      <c r="U147" s="12"/>
      <c r="V147" s="12"/>
      <c r="W147" s="19"/>
      <c r="X147" s="111"/>
    </row>
    <row r="148" spans="1:24" ht="12.75">
      <c r="A148" s="60"/>
      <c r="B148" s="61"/>
      <c r="C148" s="64"/>
      <c r="D148" s="63"/>
      <c r="E148" s="44"/>
      <c r="F148" s="33"/>
      <c r="G148" s="42"/>
      <c r="H148" s="43"/>
      <c r="I148" s="43"/>
      <c r="J148" s="36">
        <f aca="true" t="shared" si="12" ref="J148:J155">IF(+I148+H148&gt;0,I148+(H148*labour),"")</f>
      </c>
      <c r="K148" s="37">
        <f t="shared" si="11"/>
      </c>
      <c r="L148" s="31"/>
      <c r="M148" s="33"/>
      <c r="N148" s="42"/>
      <c r="O148" s="36"/>
      <c r="P148" s="37">
        <f>+IF(M148="item",O148,IF(M148&lt;&gt;0,M148*O148,""))</f>
      </c>
      <c r="Q148" s="54"/>
      <c r="S148" s="110"/>
      <c r="T148" s="12"/>
      <c r="U148" s="12"/>
      <c r="V148" s="12"/>
      <c r="W148" s="19"/>
      <c r="X148" s="111"/>
    </row>
    <row r="149" spans="1:24" ht="12.75">
      <c r="A149" s="60"/>
      <c r="B149" s="61"/>
      <c r="C149" s="64"/>
      <c r="D149" s="63"/>
      <c r="E149" s="44"/>
      <c r="F149" s="33"/>
      <c r="G149" s="42"/>
      <c r="H149" s="43"/>
      <c r="I149" s="43"/>
      <c r="J149" s="36">
        <f t="shared" si="12"/>
      </c>
      <c r="K149" s="37">
        <f t="shared" si="11"/>
      </c>
      <c r="L149" s="31"/>
      <c r="M149" s="33"/>
      <c r="N149" s="42"/>
      <c r="O149" s="36"/>
      <c r="P149" s="37">
        <f>+IF(M149="item",O149,IF(M149&lt;&gt;0,M149*O149,""))</f>
      </c>
      <c r="Q149" s="54"/>
      <c r="S149" s="110"/>
      <c r="T149" s="12"/>
      <c r="U149" s="12"/>
      <c r="V149" s="12"/>
      <c r="W149" s="19"/>
      <c r="X149" s="111"/>
    </row>
    <row r="150" spans="1:24" ht="12.75">
      <c r="A150" s="60"/>
      <c r="B150" s="61"/>
      <c r="C150" s="64"/>
      <c r="D150" s="63"/>
      <c r="E150" s="77" t="s">
        <v>126</v>
      </c>
      <c r="F150" s="33"/>
      <c r="G150" s="42"/>
      <c r="H150" s="43"/>
      <c r="I150" s="43"/>
      <c r="J150" s="36">
        <f t="shared" si="12"/>
      </c>
      <c r="K150" s="53">
        <f>SUM(K151:K160)</f>
        <v>1454.04</v>
      </c>
      <c r="L150" s="31"/>
      <c r="M150" s="72"/>
      <c r="N150" s="73"/>
      <c r="O150" s="74"/>
      <c r="P150" s="75">
        <f>+IF(M150="item",O150,IF(M150&lt;&gt;0,M150*O150,""))</f>
      </c>
      <c r="Q150" s="76"/>
      <c r="S150" s="110"/>
      <c r="T150" s="12"/>
      <c r="U150" s="12"/>
      <c r="V150" s="12"/>
      <c r="W150" s="112">
        <f>SUM(W151:W160)</f>
        <v>24.22</v>
      </c>
      <c r="X150" s="111"/>
    </row>
    <row r="151" spans="1:24" ht="12.75">
      <c r="A151" s="60"/>
      <c r="B151" s="61"/>
      <c r="C151" s="64"/>
      <c r="D151" s="63"/>
      <c r="E151" s="44"/>
      <c r="F151" s="33"/>
      <c r="G151" s="42"/>
      <c r="H151" s="43"/>
      <c r="I151" s="43"/>
      <c r="J151" s="36">
        <f t="shared" si="12"/>
      </c>
      <c r="K151" s="37">
        <f t="shared" si="11"/>
      </c>
      <c r="L151" s="31"/>
      <c r="M151" s="72"/>
      <c r="N151" s="73"/>
      <c r="O151" s="74"/>
      <c r="P151" s="75">
        <f aca="true" t="shared" si="13" ref="P151:P156">+IF(M151="item",O151,IF(M151&lt;&gt;0,M151*O151,""))</f>
      </c>
      <c r="Q151" s="76"/>
      <c r="S151" s="113" t="s">
        <v>257</v>
      </c>
      <c r="T151" s="12"/>
      <c r="U151" s="12"/>
      <c r="V151" s="12"/>
      <c r="W151" s="19"/>
      <c r="X151" s="111"/>
    </row>
    <row r="152" spans="1:24" ht="12.75" outlineLevel="1">
      <c r="A152" s="60"/>
      <c r="B152" s="61"/>
      <c r="C152" s="64"/>
      <c r="D152" s="63"/>
      <c r="E152" s="44" t="s">
        <v>127</v>
      </c>
      <c r="F152" s="33" t="s">
        <v>1</v>
      </c>
      <c r="G152" s="42"/>
      <c r="H152" s="43">
        <v>4</v>
      </c>
      <c r="I152" s="43">
        <v>50</v>
      </c>
      <c r="J152" s="36">
        <f t="shared" si="12"/>
        <v>170</v>
      </c>
      <c r="K152" s="37">
        <f t="shared" si="11"/>
        <v>170</v>
      </c>
      <c r="L152" s="31"/>
      <c r="M152" s="72"/>
      <c r="N152" s="73"/>
      <c r="O152" s="74"/>
      <c r="P152" s="75">
        <f t="shared" si="13"/>
      </c>
      <c r="Q152" s="76"/>
      <c r="S152" s="110" t="str">
        <f>+E152</f>
        <v>Sheepswool packed under skirtings</v>
      </c>
      <c r="T152" s="114">
        <f>+K152</f>
        <v>170</v>
      </c>
      <c r="U152" s="12"/>
      <c r="V152" s="12">
        <v>60</v>
      </c>
      <c r="W152" s="19">
        <f>ROUND(+IF(V152&gt;0,T152/V152,""),2)</f>
        <v>2.83</v>
      </c>
      <c r="X152" s="111"/>
    </row>
    <row r="153" spans="1:24" ht="12.75" outlineLevel="1">
      <c r="A153" s="60"/>
      <c r="B153" s="61"/>
      <c r="C153" s="64"/>
      <c r="D153" s="63"/>
      <c r="E153" s="44"/>
      <c r="F153" s="33"/>
      <c r="G153" s="42"/>
      <c r="H153" s="43"/>
      <c r="I153" s="43"/>
      <c r="J153" s="36">
        <f t="shared" si="12"/>
      </c>
      <c r="K153" s="37">
        <f t="shared" si="11"/>
      </c>
      <c r="L153" s="31"/>
      <c r="M153" s="72"/>
      <c r="N153" s="73"/>
      <c r="O153" s="74"/>
      <c r="P153" s="75">
        <f t="shared" si="13"/>
      </c>
      <c r="Q153" s="76"/>
      <c r="S153" s="110"/>
      <c r="T153" s="12"/>
      <c r="U153" s="12"/>
      <c r="V153" s="12"/>
      <c r="W153" s="19"/>
      <c r="X153" s="111"/>
    </row>
    <row r="154" spans="1:24" ht="12.75" outlineLevel="1">
      <c r="A154" s="60"/>
      <c r="B154" s="61"/>
      <c r="C154" s="64"/>
      <c r="D154" s="63"/>
      <c r="E154" s="44" t="s">
        <v>128</v>
      </c>
      <c r="F154" s="33">
        <v>100</v>
      </c>
      <c r="G154" s="42" t="s">
        <v>35</v>
      </c>
      <c r="H154" s="43">
        <v>0.1</v>
      </c>
      <c r="I154" s="43">
        <f>hardboard</f>
        <v>2.9904</v>
      </c>
      <c r="J154" s="36">
        <f t="shared" si="12"/>
        <v>5.9904</v>
      </c>
      <c r="K154" s="37">
        <f t="shared" si="11"/>
        <v>599.04</v>
      </c>
      <c r="L154" s="31"/>
      <c r="M154" s="72"/>
      <c r="N154" s="73"/>
      <c r="O154" s="74"/>
      <c r="P154" s="75">
        <f t="shared" si="13"/>
      </c>
      <c r="Q154" s="76"/>
      <c r="S154" s="110" t="str">
        <f>+E154</f>
        <v>Tempered hardboard to boards</v>
      </c>
      <c r="T154" s="114">
        <f>+K154</f>
        <v>599.04</v>
      </c>
      <c r="U154" s="12"/>
      <c r="V154" s="12">
        <v>60</v>
      </c>
      <c r="W154" s="19">
        <f>ROUND(+IF(V154&gt;0,T154/V154,""),2)</f>
        <v>9.98</v>
      </c>
      <c r="X154" s="111"/>
    </row>
    <row r="155" spans="1:24" ht="12.75" outlineLevel="1">
      <c r="A155" s="60"/>
      <c r="B155" s="61"/>
      <c r="C155" s="64"/>
      <c r="D155" s="63"/>
      <c r="E155" s="44"/>
      <c r="F155" s="33"/>
      <c r="G155" s="42"/>
      <c r="H155" s="43"/>
      <c r="I155" s="43"/>
      <c r="J155" s="36">
        <f t="shared" si="12"/>
      </c>
      <c r="K155" s="37">
        <f t="shared" si="11"/>
      </c>
      <c r="L155" s="31"/>
      <c r="M155" s="72"/>
      <c r="N155" s="73"/>
      <c r="O155" s="74"/>
      <c r="P155" s="75">
        <f t="shared" si="13"/>
      </c>
      <c r="Q155" s="76"/>
      <c r="S155" s="110"/>
      <c r="T155" s="12"/>
      <c r="U155" s="12"/>
      <c r="V155" s="12"/>
      <c r="W155" s="19"/>
      <c r="X155" s="111"/>
    </row>
    <row r="156" spans="1:24" ht="12.75" outlineLevel="1">
      <c r="A156" s="60"/>
      <c r="B156" s="61"/>
      <c r="C156" s="64"/>
      <c r="D156" s="63"/>
      <c r="E156" s="44" t="s">
        <v>125</v>
      </c>
      <c r="F156" s="33" t="s">
        <v>1</v>
      </c>
      <c r="G156" s="42"/>
      <c r="H156" s="43"/>
      <c r="I156" s="43"/>
      <c r="J156" s="36">
        <v>50</v>
      </c>
      <c r="K156" s="37">
        <f t="shared" si="11"/>
        <v>50</v>
      </c>
      <c r="L156" s="31"/>
      <c r="M156" s="72"/>
      <c r="N156" s="73"/>
      <c r="O156" s="74"/>
      <c r="P156" s="75">
        <f t="shared" si="13"/>
      </c>
      <c r="Q156" s="76"/>
      <c r="S156" s="110" t="str">
        <f>+E156</f>
        <v>Sundry materials/plant</v>
      </c>
      <c r="T156" s="114">
        <f>+K156</f>
        <v>50</v>
      </c>
      <c r="U156" s="12"/>
      <c r="V156" s="12">
        <v>60</v>
      </c>
      <c r="W156" s="19">
        <f>ROUND(+IF(V156&gt;0,T156/V156,""),2)</f>
        <v>0.83</v>
      </c>
      <c r="X156" s="111"/>
    </row>
    <row r="157" spans="1:24" ht="12.75" outlineLevel="1">
      <c r="A157" s="60"/>
      <c r="B157" s="61"/>
      <c r="C157" s="64"/>
      <c r="D157" s="63"/>
      <c r="E157" s="44"/>
      <c r="F157" s="33"/>
      <c r="G157" s="42"/>
      <c r="H157" s="43"/>
      <c r="I157" s="43"/>
      <c r="J157" s="36">
        <f>IF(+I157+H157&gt;0,I157+(H157*labour),"")</f>
      </c>
      <c r="K157" s="37">
        <f t="shared" si="11"/>
      </c>
      <c r="L157" s="31"/>
      <c r="M157" s="72"/>
      <c r="N157" s="73"/>
      <c r="O157" s="74"/>
      <c r="P157" s="75">
        <f aca="true" t="shared" si="14" ref="P157:P177">+IF(M157="item",O157,IF(M157&lt;&gt;0,M157*O157,""))</f>
      </c>
      <c r="Q157" s="76"/>
      <c r="S157" s="110"/>
      <c r="T157" s="12"/>
      <c r="U157" s="12"/>
      <c r="V157" s="12"/>
      <c r="W157" s="19"/>
      <c r="X157" s="111"/>
    </row>
    <row r="158" spans="1:24" ht="12.75" outlineLevel="1">
      <c r="A158" s="60"/>
      <c r="B158" s="61"/>
      <c r="C158" s="64"/>
      <c r="D158" s="63"/>
      <c r="E158" s="44" t="s">
        <v>131</v>
      </c>
      <c r="F158" s="33">
        <f>+F154</f>
        <v>100</v>
      </c>
      <c r="G158" s="42" t="s">
        <v>35</v>
      </c>
      <c r="H158" s="43"/>
      <c r="I158" s="43"/>
      <c r="J158" s="36">
        <f>+J69</f>
        <v>6</v>
      </c>
      <c r="K158" s="37">
        <f t="shared" si="11"/>
        <v>600</v>
      </c>
      <c r="L158" s="31"/>
      <c r="M158" s="72"/>
      <c r="N158" s="73"/>
      <c r="O158" s="74"/>
      <c r="P158" s="75">
        <f t="shared" si="14"/>
      </c>
      <c r="Q158" s="76"/>
      <c r="S158" s="110" t="str">
        <f>+E158</f>
        <v>Lifting/ relaying carpet</v>
      </c>
      <c r="T158" s="114">
        <f>+K158</f>
        <v>600</v>
      </c>
      <c r="U158" s="12"/>
      <c r="V158" s="12">
        <v>60</v>
      </c>
      <c r="W158" s="19">
        <f>ROUND(+IF(V158&gt;0,T158/V158,""),2)</f>
        <v>10</v>
      </c>
      <c r="X158" s="111"/>
    </row>
    <row r="159" spans="1:24" ht="12.75" outlineLevel="1">
      <c r="A159" s="60"/>
      <c r="B159" s="61"/>
      <c r="C159" s="64"/>
      <c r="D159" s="63"/>
      <c r="E159" s="44"/>
      <c r="F159" s="33"/>
      <c r="G159" s="42"/>
      <c r="H159" s="43"/>
      <c r="I159" s="43"/>
      <c r="J159" s="36">
        <f aca="true" t="shared" si="15" ref="J159:J173">IF(+I159+H159&gt;0,I159+(H159*labour),"")</f>
      </c>
      <c r="K159" s="37">
        <f t="shared" si="11"/>
      </c>
      <c r="L159" s="31"/>
      <c r="M159" s="72"/>
      <c r="N159" s="73"/>
      <c r="O159" s="74"/>
      <c r="P159" s="75">
        <f t="shared" si="14"/>
      </c>
      <c r="Q159" s="76"/>
      <c r="S159" s="110"/>
      <c r="T159" s="12"/>
      <c r="U159" s="12"/>
      <c r="V159" s="12"/>
      <c r="W159" s="19"/>
      <c r="X159" s="111"/>
    </row>
    <row r="160" spans="1:24" ht="12.75" outlineLevel="1">
      <c r="A160" s="60"/>
      <c r="B160" s="61"/>
      <c r="C160" s="64"/>
      <c r="D160" s="63"/>
      <c r="E160" s="44" t="s">
        <v>132</v>
      </c>
      <c r="F160" s="33">
        <v>70</v>
      </c>
      <c r="G160" s="42" t="s">
        <v>108</v>
      </c>
      <c r="H160" s="43"/>
      <c r="I160" s="90">
        <f>+I71</f>
        <v>0.5</v>
      </c>
      <c r="J160" s="36">
        <f t="shared" si="15"/>
        <v>0.5</v>
      </c>
      <c r="K160" s="37">
        <f t="shared" si="11"/>
        <v>35</v>
      </c>
      <c r="L160" s="31"/>
      <c r="M160" s="72"/>
      <c r="N160" s="73"/>
      <c r="O160" s="74"/>
      <c r="P160" s="75">
        <f t="shared" si="14"/>
      </c>
      <c r="Q160" s="76"/>
      <c r="S160" s="110" t="str">
        <f>+E160</f>
        <v>Grippers</v>
      </c>
      <c r="T160" s="114">
        <f>+K160</f>
        <v>35</v>
      </c>
      <c r="U160" s="12"/>
      <c r="V160" s="12">
        <v>60</v>
      </c>
      <c r="W160" s="19">
        <f>ROUND(+IF(V160&gt;0,T160/V160,""),2)</f>
        <v>0.58</v>
      </c>
      <c r="X160" s="111"/>
    </row>
    <row r="161" spans="1:24" ht="12.75">
      <c r="A161" s="60"/>
      <c r="B161" s="61"/>
      <c r="C161" s="64"/>
      <c r="D161" s="63"/>
      <c r="E161" s="44"/>
      <c r="F161" s="33"/>
      <c r="G161" s="42"/>
      <c r="H161" s="43"/>
      <c r="I161" s="43"/>
      <c r="J161" s="36">
        <f t="shared" si="15"/>
      </c>
      <c r="K161" s="37">
        <f t="shared" si="11"/>
      </c>
      <c r="L161" s="31"/>
      <c r="M161" s="33"/>
      <c r="N161" s="42"/>
      <c r="O161" s="36"/>
      <c r="P161" s="37">
        <f t="shared" si="14"/>
      </c>
      <c r="Q161" s="54"/>
      <c r="S161" s="110"/>
      <c r="T161" s="12"/>
      <c r="U161" s="12"/>
      <c r="V161" s="12"/>
      <c r="W161" s="19"/>
      <c r="X161" s="111"/>
    </row>
    <row r="162" spans="1:24" ht="12.75">
      <c r="A162" s="60"/>
      <c r="B162" s="61"/>
      <c r="C162" s="64"/>
      <c r="D162" s="63"/>
      <c r="E162" s="44"/>
      <c r="F162" s="33"/>
      <c r="G162" s="42"/>
      <c r="H162" s="43"/>
      <c r="I162" s="43"/>
      <c r="J162" s="36">
        <f t="shared" si="15"/>
      </c>
      <c r="K162" s="37">
        <f t="shared" si="11"/>
      </c>
      <c r="L162" s="31"/>
      <c r="M162" s="33"/>
      <c r="N162" s="42"/>
      <c r="O162" s="36"/>
      <c r="P162" s="37">
        <f t="shared" si="14"/>
      </c>
      <c r="Q162" s="54"/>
      <c r="S162" s="110"/>
      <c r="T162" s="12"/>
      <c r="U162" s="12"/>
      <c r="V162" s="12"/>
      <c r="W162" s="19"/>
      <c r="X162" s="111"/>
    </row>
    <row r="163" spans="1:24" ht="12.75">
      <c r="A163" s="60"/>
      <c r="B163" s="61"/>
      <c r="C163" s="64"/>
      <c r="D163" s="63"/>
      <c r="E163" s="77" t="s">
        <v>133</v>
      </c>
      <c r="F163" s="33"/>
      <c r="G163" s="42"/>
      <c r="H163" s="43"/>
      <c r="I163" s="43"/>
      <c r="J163" s="36">
        <f t="shared" si="15"/>
      </c>
      <c r="K163" s="37">
        <f t="shared" si="11"/>
      </c>
      <c r="L163" s="127"/>
      <c r="M163" s="33"/>
      <c r="N163" s="42"/>
      <c r="O163" s="36"/>
      <c r="P163" s="37">
        <f t="shared" si="14"/>
      </c>
      <c r="Q163" s="54"/>
      <c r="S163" s="110"/>
      <c r="T163" s="12"/>
      <c r="U163" s="12"/>
      <c r="V163" s="12"/>
      <c r="W163" s="19"/>
      <c r="X163" s="111"/>
    </row>
    <row r="164" spans="1:24" ht="12.75">
      <c r="A164" s="60"/>
      <c r="B164" s="61"/>
      <c r="C164" s="64"/>
      <c r="D164" s="63"/>
      <c r="E164" s="44"/>
      <c r="F164" s="33"/>
      <c r="G164" s="42"/>
      <c r="H164" s="43"/>
      <c r="I164" s="43"/>
      <c r="J164" s="36">
        <f t="shared" si="15"/>
      </c>
      <c r="K164" s="37">
        <f t="shared" si="11"/>
      </c>
      <c r="L164" s="31"/>
      <c r="M164" s="33"/>
      <c r="N164" s="42"/>
      <c r="O164" s="36"/>
      <c r="P164" s="37">
        <f t="shared" si="14"/>
      </c>
      <c r="Q164" s="54"/>
      <c r="S164" s="110"/>
      <c r="T164" s="12"/>
      <c r="U164" s="12"/>
      <c r="V164" s="12"/>
      <c r="W164" s="19"/>
      <c r="X164" s="111"/>
    </row>
    <row r="165" spans="1:24" ht="12.75">
      <c r="A165" s="60"/>
      <c r="B165" s="61"/>
      <c r="C165" s="64"/>
      <c r="D165" s="63"/>
      <c r="E165" s="103" t="s">
        <v>321</v>
      </c>
      <c r="F165" s="33" t="s">
        <v>1</v>
      </c>
      <c r="G165" s="42"/>
      <c r="H165" s="43"/>
      <c r="I165" s="43"/>
      <c r="J165" s="36">
        <f>polybead</f>
        <v>1680</v>
      </c>
      <c r="K165" s="37">
        <f>+IF(F165="item",J165,IF(F165&lt;&gt;0,F165*J165,""))</f>
        <v>1680</v>
      </c>
      <c r="L165" s="31"/>
      <c r="M165" s="33"/>
      <c r="N165" s="42"/>
      <c r="O165" s="36"/>
      <c r="P165" s="37"/>
      <c r="Q165" s="54"/>
      <c r="S165" s="110"/>
      <c r="T165" s="12"/>
      <c r="U165" s="12"/>
      <c r="V165" s="12"/>
      <c r="W165" s="19"/>
      <c r="X165" s="111"/>
    </row>
    <row r="166" spans="1:24" ht="12.75">
      <c r="A166" s="60"/>
      <c r="B166" s="61"/>
      <c r="C166" s="64"/>
      <c r="D166" s="63"/>
      <c r="E166" s="44"/>
      <c r="F166" s="33"/>
      <c r="G166" s="42"/>
      <c r="H166" s="43"/>
      <c r="I166" s="43"/>
      <c r="J166" s="36"/>
      <c r="K166" s="37"/>
      <c r="L166" s="31"/>
      <c r="M166" s="33"/>
      <c r="N166" s="42"/>
      <c r="O166" s="36"/>
      <c r="P166" s="37"/>
      <c r="Q166" s="54"/>
      <c r="S166" s="110"/>
      <c r="T166" s="12"/>
      <c r="U166" s="12"/>
      <c r="V166" s="12"/>
      <c r="W166" s="19"/>
      <c r="X166" s="111"/>
    </row>
    <row r="167" spans="1:24" ht="12.75">
      <c r="A167" s="60"/>
      <c r="B167" s="61"/>
      <c r="C167" s="64"/>
      <c r="D167" s="63"/>
      <c r="E167" s="103" t="s">
        <v>314</v>
      </c>
      <c r="F167" s="33" t="s">
        <v>1</v>
      </c>
      <c r="G167" s="42"/>
      <c r="H167" s="43"/>
      <c r="I167" s="43"/>
      <c r="J167" s="36">
        <f>polybead</f>
        <v>1680</v>
      </c>
      <c r="K167" s="37">
        <f t="shared" si="11"/>
        <v>1680</v>
      </c>
      <c r="L167" s="31"/>
      <c r="M167" s="33"/>
      <c r="N167" s="42"/>
      <c r="O167" s="36"/>
      <c r="P167" s="37">
        <f t="shared" si="14"/>
      </c>
      <c r="Q167" s="54"/>
      <c r="S167" s="110"/>
      <c r="T167" s="12"/>
      <c r="U167" s="12"/>
      <c r="V167" s="12"/>
      <c r="W167" s="19"/>
      <c r="X167" s="111"/>
    </row>
    <row r="168" spans="1:24" ht="12.75">
      <c r="A168" s="60"/>
      <c r="B168" s="61"/>
      <c r="C168" s="64"/>
      <c r="D168" s="63"/>
      <c r="E168" s="44"/>
      <c r="F168" s="33"/>
      <c r="G168" s="42"/>
      <c r="H168" s="43"/>
      <c r="I168" s="43"/>
      <c r="J168" s="36">
        <f t="shared" si="15"/>
      </c>
      <c r="K168" s="37">
        <f t="shared" si="11"/>
      </c>
      <c r="L168" s="31"/>
      <c r="M168" s="33"/>
      <c r="N168" s="42"/>
      <c r="O168" s="36"/>
      <c r="P168" s="37">
        <f t="shared" si="14"/>
      </c>
      <c r="Q168" s="54"/>
      <c r="S168" s="110"/>
      <c r="T168" s="12"/>
      <c r="U168" s="12"/>
      <c r="V168" s="12"/>
      <c r="W168" s="19"/>
      <c r="X168" s="111"/>
    </row>
    <row r="169" spans="1:24" ht="12.75">
      <c r="A169" s="60"/>
      <c r="B169" s="61"/>
      <c r="C169" s="64"/>
      <c r="D169" s="63"/>
      <c r="E169" s="44"/>
      <c r="F169" s="33"/>
      <c r="G169" s="42"/>
      <c r="H169" s="43"/>
      <c r="I169" s="43"/>
      <c r="J169" s="36">
        <f t="shared" si="15"/>
      </c>
      <c r="K169" s="37">
        <f t="shared" si="11"/>
      </c>
      <c r="L169" s="31"/>
      <c r="M169" s="33"/>
      <c r="N169" s="42"/>
      <c r="O169" s="36"/>
      <c r="P169" s="37">
        <f t="shared" si="14"/>
      </c>
      <c r="Q169" s="54"/>
      <c r="S169" s="110"/>
      <c r="T169" s="12"/>
      <c r="U169" s="12"/>
      <c r="V169" s="12"/>
      <c r="W169" s="19"/>
      <c r="X169" s="111"/>
    </row>
    <row r="170" spans="1:24" ht="25.5">
      <c r="A170" s="60"/>
      <c r="B170" s="61"/>
      <c r="C170" s="64"/>
      <c r="D170" s="63"/>
      <c r="E170" s="77" t="s">
        <v>134</v>
      </c>
      <c r="F170" s="33"/>
      <c r="G170" s="42"/>
      <c r="H170" s="43"/>
      <c r="I170" s="43"/>
      <c r="J170" s="36">
        <f t="shared" si="15"/>
      </c>
      <c r="K170" s="37">
        <f t="shared" si="11"/>
      </c>
      <c r="L170" s="126" t="s">
        <v>141</v>
      </c>
      <c r="M170" s="72"/>
      <c r="N170" s="73"/>
      <c r="O170" s="74"/>
      <c r="P170" s="75">
        <f t="shared" si="14"/>
      </c>
      <c r="Q170" s="76"/>
      <c r="S170" s="110"/>
      <c r="T170" s="12"/>
      <c r="U170" s="12"/>
      <c r="V170" s="12"/>
      <c r="W170" s="19"/>
      <c r="X170" s="111"/>
    </row>
    <row r="171" spans="1:24" ht="12.75">
      <c r="A171" s="60"/>
      <c r="B171" s="61"/>
      <c r="C171" s="64"/>
      <c r="D171" s="63"/>
      <c r="E171" s="44"/>
      <c r="F171" s="33"/>
      <c r="G171" s="42"/>
      <c r="H171" s="43"/>
      <c r="I171" s="43"/>
      <c r="J171" s="36">
        <f t="shared" si="15"/>
      </c>
      <c r="K171" s="37">
        <f t="shared" si="11"/>
      </c>
      <c r="L171" s="31"/>
      <c r="M171" s="33"/>
      <c r="N171" s="42"/>
      <c r="O171" s="36"/>
      <c r="P171" s="37">
        <f t="shared" si="14"/>
      </c>
      <c r="Q171" s="54"/>
      <c r="S171" s="110"/>
      <c r="T171" s="12"/>
      <c r="U171" s="12"/>
      <c r="V171" s="12"/>
      <c r="W171" s="19"/>
      <c r="X171" s="111"/>
    </row>
    <row r="172" spans="1:24" ht="25.5">
      <c r="A172" s="60"/>
      <c r="B172" s="61"/>
      <c r="C172" s="64"/>
      <c r="D172" s="63"/>
      <c r="E172" s="77" t="s">
        <v>135</v>
      </c>
      <c r="F172" s="33"/>
      <c r="G172" s="42"/>
      <c r="H172" s="43"/>
      <c r="I172" s="43"/>
      <c r="J172" s="36">
        <f t="shared" si="15"/>
      </c>
      <c r="K172" s="37">
        <f t="shared" si="11"/>
      </c>
      <c r="L172" s="31"/>
      <c r="M172" s="72"/>
      <c r="N172" s="73"/>
      <c r="O172" s="74"/>
      <c r="P172" s="75">
        <f>+IF(M172="item",O172,IF(M172&lt;&gt;0,M172*O172,""))</f>
      </c>
      <c r="Q172" s="76"/>
      <c r="S172" s="110"/>
      <c r="T172" s="12"/>
      <c r="U172" s="12"/>
      <c r="V172" s="12"/>
      <c r="W172" s="112"/>
      <c r="X172" s="116" t="s">
        <v>265</v>
      </c>
    </row>
    <row r="173" spans="1:24" ht="12.75">
      <c r="A173" s="60"/>
      <c r="B173" s="61"/>
      <c r="C173" s="64"/>
      <c r="D173" s="63"/>
      <c r="E173" s="44"/>
      <c r="F173" s="33"/>
      <c r="G173" s="42"/>
      <c r="H173" s="43"/>
      <c r="I173" s="43"/>
      <c r="J173" s="36">
        <f t="shared" si="15"/>
      </c>
      <c r="K173" s="37">
        <f t="shared" si="11"/>
      </c>
      <c r="L173" s="31"/>
      <c r="M173" s="72"/>
      <c r="N173" s="73"/>
      <c r="O173" s="74"/>
      <c r="P173" s="75">
        <f>+IF(M173="item",O173,IF(M173&lt;&gt;0,M173*O173,""))</f>
      </c>
      <c r="Q173" s="76"/>
      <c r="S173" s="113"/>
      <c r="T173" s="12"/>
      <c r="U173" s="12"/>
      <c r="V173" s="12"/>
      <c r="W173" s="19"/>
      <c r="X173" s="111"/>
    </row>
    <row r="174" spans="1:24" ht="12.75">
      <c r="A174" s="60"/>
      <c r="B174" s="61"/>
      <c r="C174" s="64"/>
      <c r="D174" s="63"/>
      <c r="E174" s="44" t="s">
        <v>136</v>
      </c>
      <c r="F174" s="33">
        <v>11</v>
      </c>
      <c r="G174" s="42" t="s">
        <v>8</v>
      </c>
      <c r="H174" s="43"/>
      <c r="I174" s="43"/>
      <c r="J174" s="36">
        <v>750</v>
      </c>
      <c r="K174" s="37">
        <f t="shared" si="11"/>
        <v>8250</v>
      </c>
      <c r="L174" s="31" t="s">
        <v>137</v>
      </c>
      <c r="M174" s="72"/>
      <c r="N174" s="73"/>
      <c r="O174" s="74"/>
      <c r="P174" s="75">
        <f>+IF(M174="item",O174,IF(M174&lt;&gt;0,M174*O174,""))</f>
      </c>
      <c r="Q174" s="76"/>
      <c r="S174" s="121"/>
      <c r="T174" s="114"/>
      <c r="U174" s="12"/>
      <c r="V174" s="12"/>
      <c r="W174" s="19"/>
      <c r="X174" s="111"/>
    </row>
    <row r="175" spans="1:24" ht="12.75">
      <c r="A175" s="60"/>
      <c r="B175" s="61"/>
      <c r="C175" s="64"/>
      <c r="D175" s="63"/>
      <c r="E175" s="44"/>
      <c r="F175" s="33"/>
      <c r="G175" s="42"/>
      <c r="H175" s="43"/>
      <c r="I175" s="43"/>
      <c r="J175" s="36">
        <f>IF(+I175+H175&gt;0,I175+(H175*labour),"")</f>
      </c>
      <c r="K175" s="37">
        <f t="shared" si="11"/>
      </c>
      <c r="L175" s="31"/>
      <c r="M175" s="33"/>
      <c r="N175" s="42"/>
      <c r="O175" s="36"/>
      <c r="P175" s="37">
        <f t="shared" si="14"/>
      </c>
      <c r="Q175" s="54"/>
      <c r="S175" s="110"/>
      <c r="T175" s="12"/>
      <c r="U175" s="12"/>
      <c r="V175" s="12"/>
      <c r="W175" s="19"/>
      <c r="X175" s="111"/>
    </row>
    <row r="176" spans="1:24" ht="12.75">
      <c r="A176" s="60"/>
      <c r="B176" s="61"/>
      <c r="C176" s="64"/>
      <c r="D176" s="63"/>
      <c r="E176" s="77" t="s">
        <v>138</v>
      </c>
      <c r="F176" s="33"/>
      <c r="G176" s="42"/>
      <c r="H176" s="43"/>
      <c r="I176" s="43"/>
      <c r="J176" s="36">
        <f>IF(+I176+H176&gt;0,I176+(H176*labour),"")</f>
      </c>
      <c r="K176" s="37">
        <f t="shared" si="11"/>
      </c>
      <c r="L176" s="126" t="s">
        <v>297</v>
      </c>
      <c r="M176" s="72"/>
      <c r="N176" s="73"/>
      <c r="O176" s="74"/>
      <c r="P176" s="75">
        <f>+IF(M176="item",O176,IF(M176&lt;&gt;0,M176*O176,""))</f>
      </c>
      <c r="Q176" s="76"/>
      <c r="S176" s="110"/>
      <c r="T176" s="114"/>
      <c r="U176" s="12"/>
      <c r="V176" s="12"/>
      <c r="W176" s="19"/>
      <c r="X176" s="116"/>
    </row>
    <row r="177" spans="1:24" ht="12.75">
      <c r="A177" s="60"/>
      <c r="B177" s="61"/>
      <c r="C177" s="62"/>
      <c r="D177" s="63"/>
      <c r="E177" s="77"/>
      <c r="F177" s="33"/>
      <c r="G177" s="42"/>
      <c r="H177" s="43"/>
      <c r="I177" s="43"/>
      <c r="J177" s="36">
        <f>IF(+I177+H177&gt;0,I177+(H177*labour),"")</f>
      </c>
      <c r="K177" s="37">
        <f t="shared" si="11"/>
      </c>
      <c r="L177" s="31"/>
      <c r="M177" s="33"/>
      <c r="N177" s="42"/>
      <c r="O177" s="36"/>
      <c r="P177" s="37">
        <f t="shared" si="14"/>
      </c>
      <c r="Q177" s="54"/>
      <c r="S177" s="110"/>
      <c r="T177" s="12"/>
      <c r="U177" s="12"/>
      <c r="V177" s="12"/>
      <c r="W177" s="19"/>
      <c r="X177" s="111"/>
    </row>
    <row r="178" spans="1:24" ht="12.75">
      <c r="A178" s="60"/>
      <c r="B178" s="61"/>
      <c r="C178" s="62"/>
      <c r="D178" s="63"/>
      <c r="E178" s="77"/>
      <c r="F178" s="33"/>
      <c r="G178" s="42"/>
      <c r="H178" s="43"/>
      <c r="I178" s="43"/>
      <c r="J178" s="36"/>
      <c r="K178" s="37"/>
      <c r="L178" s="31"/>
      <c r="M178" s="33"/>
      <c r="N178" s="42"/>
      <c r="O178" s="36"/>
      <c r="P178" s="37"/>
      <c r="Q178" s="54"/>
      <c r="S178" s="110"/>
      <c r="T178" s="12"/>
      <c r="U178" s="12"/>
      <c r="V178" s="12"/>
      <c r="W178" s="19"/>
      <c r="X178" s="111"/>
    </row>
    <row r="179" spans="1:24" ht="12.75">
      <c r="A179" s="60"/>
      <c r="B179" s="61"/>
      <c r="C179" s="62"/>
      <c r="D179" s="63"/>
      <c r="E179" s="77"/>
      <c r="F179" s="33"/>
      <c r="G179" s="42"/>
      <c r="H179" s="43"/>
      <c r="I179" s="43"/>
      <c r="J179" s="36"/>
      <c r="K179" s="37"/>
      <c r="L179" s="31"/>
      <c r="M179" s="33"/>
      <c r="N179" s="42"/>
      <c r="O179" s="36"/>
      <c r="P179" s="37"/>
      <c r="Q179" s="54"/>
      <c r="S179" s="110"/>
      <c r="T179" s="12"/>
      <c r="U179" s="12"/>
      <c r="V179" s="12"/>
      <c r="W179" s="19"/>
      <c r="X179" s="111"/>
    </row>
    <row r="180" spans="1:24" ht="12.75">
      <c r="A180" s="60"/>
      <c r="B180" s="61"/>
      <c r="C180" s="62"/>
      <c r="D180" s="63"/>
      <c r="E180" s="77"/>
      <c r="F180" s="33"/>
      <c r="G180" s="42"/>
      <c r="H180" s="43"/>
      <c r="I180" s="43"/>
      <c r="J180" s="36"/>
      <c r="K180" s="37"/>
      <c r="L180" s="31"/>
      <c r="M180" s="33"/>
      <c r="N180" s="42"/>
      <c r="O180" s="36"/>
      <c r="P180" s="37"/>
      <c r="Q180" s="54"/>
      <c r="S180" s="110"/>
      <c r="T180" s="12"/>
      <c r="U180" s="12"/>
      <c r="V180" s="12"/>
      <c r="W180" s="19"/>
      <c r="X180" s="111"/>
    </row>
    <row r="181" spans="1:24" ht="25.5">
      <c r="A181" s="60"/>
      <c r="B181" s="61"/>
      <c r="C181" s="62"/>
      <c r="D181" s="65"/>
      <c r="E181" s="77" t="s">
        <v>139</v>
      </c>
      <c r="F181" s="33"/>
      <c r="G181" s="42"/>
      <c r="H181" s="43"/>
      <c r="I181" s="43"/>
      <c r="J181" s="36">
        <f>IF(+I181+H181&gt;0,I181+(H181*labour),"")</f>
      </c>
      <c r="K181" s="37">
        <f t="shared" si="11"/>
      </c>
      <c r="L181" s="31"/>
      <c r="M181" s="72"/>
      <c r="N181" s="73"/>
      <c r="O181" s="74"/>
      <c r="P181" s="75">
        <f aca="true" t="shared" si="16" ref="P181:P206">+IF(M181="item",O181,IF(M181&lt;&gt;0,M181*O181,""))</f>
      </c>
      <c r="Q181" s="76"/>
      <c r="S181" s="110"/>
      <c r="T181" s="12"/>
      <c r="U181" s="12"/>
      <c r="V181" s="12"/>
      <c r="W181" s="19"/>
      <c r="X181" s="116" t="s">
        <v>265</v>
      </c>
    </row>
    <row r="182" spans="1:24" ht="12.75">
      <c r="A182" s="60"/>
      <c r="B182" s="61"/>
      <c r="C182" s="62"/>
      <c r="D182" s="65"/>
      <c r="E182" s="77"/>
      <c r="F182" s="33"/>
      <c r="G182" s="42"/>
      <c r="H182" s="43"/>
      <c r="I182" s="43"/>
      <c r="J182" s="36"/>
      <c r="K182" s="37"/>
      <c r="L182" s="31"/>
      <c r="M182" s="72"/>
      <c r="N182" s="73"/>
      <c r="O182" s="74"/>
      <c r="P182" s="75">
        <f t="shared" si="16"/>
      </c>
      <c r="Q182" s="76"/>
      <c r="S182" s="110"/>
      <c r="T182" s="12"/>
      <c r="U182" s="12"/>
      <c r="V182" s="12"/>
      <c r="W182" s="19"/>
      <c r="X182" s="116"/>
    </row>
    <row r="183" spans="1:24" ht="12.75">
      <c r="A183" s="60"/>
      <c r="B183" s="61"/>
      <c r="C183" s="62"/>
      <c r="D183" s="65"/>
      <c r="E183" s="103" t="s">
        <v>280</v>
      </c>
      <c r="F183" s="33"/>
      <c r="G183" s="42"/>
      <c r="H183" s="43"/>
      <c r="I183" s="43"/>
      <c r="J183" s="36"/>
      <c r="K183" s="37"/>
      <c r="L183" s="31" t="s">
        <v>282</v>
      </c>
      <c r="M183" s="72"/>
      <c r="N183" s="73"/>
      <c r="O183" s="74"/>
      <c r="P183" s="75">
        <f t="shared" si="16"/>
      </c>
      <c r="Q183" s="76"/>
      <c r="S183" s="110"/>
      <c r="T183" s="12"/>
      <c r="U183" s="12"/>
      <c r="V183" s="12"/>
      <c r="W183" s="19"/>
      <c r="X183" s="116" t="s">
        <v>296</v>
      </c>
    </row>
    <row r="184" spans="1:24" ht="12.75">
      <c r="A184" s="60"/>
      <c r="B184" s="61"/>
      <c r="C184" s="62"/>
      <c r="D184" s="65"/>
      <c r="E184" s="77"/>
      <c r="F184" s="33"/>
      <c r="G184" s="42"/>
      <c r="H184" s="43"/>
      <c r="I184" s="43"/>
      <c r="J184" s="36"/>
      <c r="K184" s="37"/>
      <c r="L184" s="31" t="s">
        <v>290</v>
      </c>
      <c r="M184" s="72"/>
      <c r="N184" s="73"/>
      <c r="O184" s="74"/>
      <c r="P184" s="75">
        <f t="shared" si="16"/>
      </c>
      <c r="Q184" s="76"/>
      <c r="S184" s="110"/>
      <c r="T184" s="12"/>
      <c r="U184" s="12"/>
      <c r="V184" s="12"/>
      <c r="W184" s="19"/>
      <c r="X184" s="116"/>
    </row>
    <row r="185" spans="1:24" ht="12.75">
      <c r="A185" s="60"/>
      <c r="B185" s="61"/>
      <c r="C185" s="62"/>
      <c r="D185" s="65"/>
      <c r="E185" s="44" t="s">
        <v>281</v>
      </c>
      <c r="F185" s="33">
        <v>75</v>
      </c>
      <c r="G185" s="42" t="s">
        <v>35</v>
      </c>
      <c r="H185" s="43"/>
      <c r="I185" s="43"/>
      <c r="J185" s="36">
        <v>19.4</v>
      </c>
      <c r="K185" s="37">
        <f t="shared" si="11"/>
        <v>1455</v>
      </c>
      <c r="L185" s="31"/>
      <c r="M185" s="72"/>
      <c r="N185" s="73"/>
      <c r="O185" s="74"/>
      <c r="P185" s="75">
        <f t="shared" si="16"/>
      </c>
      <c r="Q185" s="76"/>
      <c r="S185" s="110"/>
      <c r="T185" s="12"/>
      <c r="U185" s="12"/>
      <c r="V185" s="12"/>
      <c r="W185" s="19"/>
      <c r="X185" s="116"/>
    </row>
    <row r="186" spans="1:24" ht="12.75">
      <c r="A186" s="60"/>
      <c r="B186" s="61"/>
      <c r="C186" s="62"/>
      <c r="D186" s="65"/>
      <c r="E186" s="77"/>
      <c r="F186" s="33"/>
      <c r="G186" s="42"/>
      <c r="H186" s="43"/>
      <c r="I186" s="43"/>
      <c r="J186" s="36"/>
      <c r="K186" s="37">
        <f t="shared" si="11"/>
      </c>
      <c r="L186" s="31"/>
      <c r="M186" s="72"/>
      <c r="N186" s="73"/>
      <c r="O186" s="74"/>
      <c r="P186" s="75">
        <f t="shared" si="16"/>
      </c>
      <c r="Q186" s="76"/>
      <c r="S186" s="110"/>
      <c r="T186" s="12"/>
      <c r="U186" s="12"/>
      <c r="V186" s="12"/>
      <c r="W186" s="19"/>
      <c r="X186" s="116"/>
    </row>
    <row r="187" spans="1:24" ht="12.75">
      <c r="A187" s="60"/>
      <c r="B187" s="61"/>
      <c r="C187" s="62"/>
      <c r="D187" s="65"/>
      <c r="E187" s="44" t="s">
        <v>283</v>
      </c>
      <c r="F187" s="33">
        <f>ROUND(F185*0.3,0)</f>
        <v>23</v>
      </c>
      <c r="G187" s="42" t="s">
        <v>215</v>
      </c>
      <c r="H187" s="43"/>
      <c r="I187" s="43"/>
      <c r="J187" s="36">
        <v>76.25</v>
      </c>
      <c r="K187" s="37">
        <f t="shared" si="11"/>
        <v>1753.75</v>
      </c>
      <c r="L187" s="31"/>
      <c r="M187" s="72"/>
      <c r="N187" s="73"/>
      <c r="O187" s="74"/>
      <c r="P187" s="75">
        <f t="shared" si="16"/>
      </c>
      <c r="Q187" s="76"/>
      <c r="S187" s="110"/>
      <c r="T187" s="12"/>
      <c r="U187" s="12"/>
      <c r="V187" s="12"/>
      <c r="W187" s="19"/>
      <c r="X187" s="116"/>
    </row>
    <row r="188" spans="1:24" ht="12.75">
      <c r="A188" s="60"/>
      <c r="B188" s="61"/>
      <c r="C188" s="62"/>
      <c r="D188" s="65"/>
      <c r="E188" s="77"/>
      <c r="F188" s="33"/>
      <c r="G188" s="42"/>
      <c r="H188" s="43"/>
      <c r="I188" s="43"/>
      <c r="J188" s="36"/>
      <c r="K188" s="37">
        <f t="shared" si="11"/>
      </c>
      <c r="L188" s="31"/>
      <c r="M188" s="72"/>
      <c r="N188" s="73"/>
      <c r="O188" s="74"/>
      <c r="P188" s="75">
        <f t="shared" si="16"/>
      </c>
      <c r="Q188" s="76"/>
      <c r="S188" s="110"/>
      <c r="T188" s="12"/>
      <c r="U188" s="12"/>
      <c r="V188" s="12"/>
      <c r="W188" s="19"/>
      <c r="X188" s="116"/>
    </row>
    <row r="189" spans="1:24" ht="12.75">
      <c r="A189" s="60"/>
      <c r="B189" s="61"/>
      <c r="C189" s="62"/>
      <c r="D189" s="65"/>
      <c r="E189" s="44" t="s">
        <v>284</v>
      </c>
      <c r="F189" s="33">
        <f>+F185</f>
        <v>75</v>
      </c>
      <c r="G189" s="42" t="s">
        <v>35</v>
      </c>
      <c r="H189" s="43"/>
      <c r="I189" s="43"/>
      <c r="J189" s="36">
        <v>14.62</v>
      </c>
      <c r="K189" s="37">
        <f t="shared" si="11"/>
        <v>1096.5</v>
      </c>
      <c r="L189" s="31"/>
      <c r="M189" s="72"/>
      <c r="N189" s="73"/>
      <c r="O189" s="74"/>
      <c r="P189" s="75">
        <f t="shared" si="16"/>
      </c>
      <c r="Q189" s="76"/>
      <c r="S189" s="110"/>
      <c r="T189" s="12"/>
      <c r="U189" s="12"/>
      <c r="V189" s="12"/>
      <c r="W189" s="19"/>
      <c r="X189" s="116"/>
    </row>
    <row r="190" spans="1:24" ht="12.75">
      <c r="A190" s="60"/>
      <c r="B190" s="61"/>
      <c r="C190" s="62"/>
      <c r="D190" s="65"/>
      <c r="E190" s="44"/>
      <c r="F190" s="33"/>
      <c r="G190" s="42"/>
      <c r="H190" s="43"/>
      <c r="I190" s="43"/>
      <c r="J190" s="36"/>
      <c r="K190" s="37">
        <f t="shared" si="11"/>
      </c>
      <c r="L190" s="31"/>
      <c r="M190" s="72"/>
      <c r="N190" s="73"/>
      <c r="O190" s="74"/>
      <c r="P190" s="75">
        <f t="shared" si="16"/>
      </c>
      <c r="Q190" s="76"/>
      <c r="S190" s="110"/>
      <c r="T190" s="12"/>
      <c r="U190" s="12"/>
      <c r="V190" s="12"/>
      <c r="W190" s="19"/>
      <c r="X190" s="116"/>
    </row>
    <row r="191" spans="1:24" ht="12.75">
      <c r="A191" s="60"/>
      <c r="B191" s="61"/>
      <c r="C191" s="62"/>
      <c r="D191" s="65"/>
      <c r="E191" s="44" t="s">
        <v>285</v>
      </c>
      <c r="F191" s="33">
        <f>+F189</f>
        <v>75</v>
      </c>
      <c r="G191" s="42" t="s">
        <v>35</v>
      </c>
      <c r="H191" s="43"/>
      <c r="I191" s="43"/>
      <c r="J191" s="36">
        <f>12.86/2.3</f>
        <v>5.591304347826087</v>
      </c>
      <c r="K191" s="37">
        <f t="shared" si="11"/>
        <v>419.34782608695656</v>
      </c>
      <c r="L191" s="31"/>
      <c r="M191" s="72"/>
      <c r="N191" s="73"/>
      <c r="O191" s="74"/>
      <c r="P191" s="75">
        <f t="shared" si="16"/>
      </c>
      <c r="Q191" s="76"/>
      <c r="S191" s="110"/>
      <c r="T191" s="12"/>
      <c r="U191" s="12"/>
      <c r="V191" s="12"/>
      <c r="W191" s="19"/>
      <c r="X191" s="116"/>
    </row>
    <row r="192" spans="1:24" ht="12.75">
      <c r="A192" s="60"/>
      <c r="B192" s="61"/>
      <c r="C192" s="62"/>
      <c r="D192" s="65"/>
      <c r="E192" s="44"/>
      <c r="F192" s="33"/>
      <c r="G192" s="42"/>
      <c r="H192" s="43"/>
      <c r="I192" s="43"/>
      <c r="J192" s="36"/>
      <c r="K192" s="37">
        <f t="shared" si="11"/>
      </c>
      <c r="L192" s="31"/>
      <c r="M192" s="72"/>
      <c r="N192" s="73"/>
      <c r="O192" s="74"/>
      <c r="P192" s="75">
        <f t="shared" si="16"/>
      </c>
      <c r="Q192" s="76"/>
      <c r="S192" s="110"/>
      <c r="T192" s="12"/>
      <c r="U192" s="12"/>
      <c r="V192" s="12"/>
      <c r="W192" s="19"/>
      <c r="X192" s="116"/>
    </row>
    <row r="193" spans="1:24" ht="12.75">
      <c r="A193" s="60"/>
      <c r="B193" s="61"/>
      <c r="C193" s="62"/>
      <c r="D193" s="65"/>
      <c r="E193" s="44" t="s">
        <v>286</v>
      </c>
      <c r="F193" s="33">
        <f>+F191</f>
        <v>75</v>
      </c>
      <c r="G193" s="42" t="s">
        <v>35</v>
      </c>
      <c r="H193" s="43"/>
      <c r="I193" s="43"/>
      <c r="J193" s="36">
        <v>8.54</v>
      </c>
      <c r="K193" s="37">
        <f t="shared" si="11"/>
        <v>640.4999999999999</v>
      </c>
      <c r="L193" s="31"/>
      <c r="M193" s="72"/>
      <c r="N193" s="73"/>
      <c r="O193" s="74"/>
      <c r="P193" s="75">
        <f t="shared" si="16"/>
      </c>
      <c r="Q193" s="76"/>
      <c r="S193" s="110"/>
      <c r="T193" s="12"/>
      <c r="U193" s="12"/>
      <c r="V193" s="12"/>
      <c r="W193" s="19"/>
      <c r="X193" s="116"/>
    </row>
    <row r="194" spans="1:24" ht="12.75">
      <c r="A194" s="60"/>
      <c r="B194" s="61"/>
      <c r="C194" s="62"/>
      <c r="D194" s="65"/>
      <c r="E194" s="44"/>
      <c r="F194" s="33"/>
      <c r="G194" s="42"/>
      <c r="H194" s="43"/>
      <c r="I194" s="43"/>
      <c r="J194" s="36"/>
      <c r="K194" s="37">
        <f t="shared" si="11"/>
      </c>
      <c r="L194" s="31"/>
      <c r="M194" s="72"/>
      <c r="N194" s="73"/>
      <c r="O194" s="74"/>
      <c r="P194" s="75">
        <f t="shared" si="16"/>
      </c>
      <c r="Q194" s="76"/>
      <c r="S194" s="110"/>
      <c r="T194" s="12"/>
      <c r="U194" s="12"/>
      <c r="V194" s="12"/>
      <c r="W194" s="19"/>
      <c r="X194" s="116"/>
    </row>
    <row r="195" spans="1:24" ht="12.75">
      <c r="A195" s="60"/>
      <c r="B195" s="61"/>
      <c r="C195" s="62"/>
      <c r="D195" s="65"/>
      <c r="E195" s="44" t="s">
        <v>287</v>
      </c>
      <c r="F195" s="33">
        <f>+F193</f>
        <v>75</v>
      </c>
      <c r="G195" s="42" t="s">
        <v>35</v>
      </c>
      <c r="H195" s="43"/>
      <c r="I195" s="43"/>
      <c r="J195" s="36">
        <v>24.29</v>
      </c>
      <c r="K195" s="37">
        <f t="shared" si="11"/>
        <v>1821.75</v>
      </c>
      <c r="L195" s="31"/>
      <c r="M195" s="72"/>
      <c r="N195" s="73"/>
      <c r="O195" s="74"/>
      <c r="P195" s="75">
        <f t="shared" si="16"/>
      </c>
      <c r="Q195" s="76"/>
      <c r="S195" s="110"/>
      <c r="T195" s="12"/>
      <c r="U195" s="12"/>
      <c r="V195" s="12"/>
      <c r="W195" s="19"/>
      <c r="X195" s="116"/>
    </row>
    <row r="196" spans="1:24" ht="12.75">
      <c r="A196" s="60"/>
      <c r="B196" s="61"/>
      <c r="C196" s="62"/>
      <c r="D196" s="65"/>
      <c r="E196" s="44"/>
      <c r="F196" s="33"/>
      <c r="G196" s="42"/>
      <c r="H196" s="43"/>
      <c r="I196" s="43"/>
      <c r="J196" s="36"/>
      <c r="K196" s="37">
        <f t="shared" si="11"/>
      </c>
      <c r="L196" s="31"/>
      <c r="M196" s="72"/>
      <c r="N196" s="73"/>
      <c r="O196" s="74"/>
      <c r="P196" s="75">
        <f t="shared" si="16"/>
      </c>
      <c r="Q196" s="76"/>
      <c r="S196" s="110"/>
      <c r="T196" s="12"/>
      <c r="U196" s="12"/>
      <c r="V196" s="12"/>
      <c r="W196" s="19"/>
      <c r="X196" s="116"/>
    </row>
    <row r="197" spans="1:24" ht="12.75">
      <c r="A197" s="60"/>
      <c r="B197" s="61"/>
      <c r="C197" s="62"/>
      <c r="D197" s="65"/>
      <c r="E197" s="44" t="s">
        <v>288</v>
      </c>
      <c r="F197" s="33">
        <f>+F195</f>
        <v>75</v>
      </c>
      <c r="G197" s="42" t="s">
        <v>35</v>
      </c>
      <c r="H197" s="43"/>
      <c r="I197" s="43"/>
      <c r="J197" s="36">
        <v>54.52</v>
      </c>
      <c r="K197" s="37">
        <f t="shared" si="11"/>
        <v>4089.0000000000005</v>
      </c>
      <c r="L197" s="31"/>
      <c r="M197" s="72"/>
      <c r="N197" s="73"/>
      <c r="O197" s="74"/>
      <c r="P197" s="75">
        <f t="shared" si="16"/>
      </c>
      <c r="Q197" s="76"/>
      <c r="S197" s="110"/>
      <c r="T197" s="12"/>
      <c r="U197" s="12"/>
      <c r="V197" s="12"/>
      <c r="W197" s="19"/>
      <c r="X197" s="116"/>
    </row>
    <row r="198" spans="1:24" ht="12.75">
      <c r="A198" s="60"/>
      <c r="B198" s="61"/>
      <c r="C198" s="62"/>
      <c r="D198" s="65"/>
      <c r="E198" s="44"/>
      <c r="F198" s="33"/>
      <c r="G198" s="42"/>
      <c r="H198" s="43"/>
      <c r="I198" s="43"/>
      <c r="J198" s="36"/>
      <c r="K198" s="37">
        <f t="shared" si="11"/>
      </c>
      <c r="L198" s="31"/>
      <c r="M198" s="72"/>
      <c r="N198" s="73"/>
      <c r="O198" s="74"/>
      <c r="P198" s="75">
        <f t="shared" si="16"/>
      </c>
      <c r="Q198" s="76"/>
      <c r="S198" s="110"/>
      <c r="T198" s="12"/>
      <c r="U198" s="12"/>
      <c r="V198" s="12"/>
      <c r="W198" s="19"/>
      <c r="X198" s="116"/>
    </row>
    <row r="199" spans="1:24" ht="12.75">
      <c r="A199" s="60"/>
      <c r="B199" s="61"/>
      <c r="C199" s="62"/>
      <c r="D199" s="65"/>
      <c r="E199" s="44"/>
      <c r="F199" s="33"/>
      <c r="G199" s="42"/>
      <c r="H199" s="43"/>
      <c r="I199" s="43"/>
      <c r="J199" s="36"/>
      <c r="K199" s="37">
        <f t="shared" si="11"/>
      </c>
      <c r="L199" s="31"/>
      <c r="M199" s="72"/>
      <c r="N199" s="73"/>
      <c r="O199" s="74"/>
      <c r="P199" s="75">
        <f t="shared" si="16"/>
      </c>
      <c r="Q199" s="76"/>
      <c r="S199" s="110"/>
      <c r="T199" s="12"/>
      <c r="U199" s="12"/>
      <c r="V199" s="12"/>
      <c r="W199" s="19"/>
      <c r="X199" s="116"/>
    </row>
    <row r="200" spans="1:24" ht="12.75">
      <c r="A200" s="60"/>
      <c r="B200" s="61"/>
      <c r="C200" s="62"/>
      <c r="D200" s="65"/>
      <c r="E200" s="103" t="s">
        <v>289</v>
      </c>
      <c r="F200" s="33"/>
      <c r="G200" s="42"/>
      <c r="H200" s="43"/>
      <c r="I200" s="43"/>
      <c r="J200" s="36"/>
      <c r="K200" s="37"/>
      <c r="L200" s="31" t="s">
        <v>291</v>
      </c>
      <c r="M200" s="72"/>
      <c r="N200" s="73"/>
      <c r="O200" s="74"/>
      <c r="P200" s="75">
        <f t="shared" si="16"/>
      </c>
      <c r="Q200" s="76"/>
      <c r="S200" s="110"/>
      <c r="T200" s="12"/>
      <c r="U200" s="12"/>
      <c r="V200" s="12"/>
      <c r="W200" s="19"/>
      <c r="X200" s="116" t="s">
        <v>296</v>
      </c>
    </row>
    <row r="201" spans="1:24" ht="12.75">
      <c r="A201" s="60"/>
      <c r="B201" s="61"/>
      <c r="C201" s="62"/>
      <c r="D201" s="65"/>
      <c r="E201" s="44"/>
      <c r="F201" s="33"/>
      <c r="G201" s="42"/>
      <c r="H201" s="43"/>
      <c r="I201" s="43"/>
      <c r="J201" s="36"/>
      <c r="K201" s="37"/>
      <c r="L201" s="31"/>
      <c r="M201" s="72"/>
      <c r="N201" s="73"/>
      <c r="O201" s="74"/>
      <c r="P201" s="75">
        <f t="shared" si="16"/>
      </c>
      <c r="Q201" s="76"/>
      <c r="S201" s="110"/>
      <c r="T201" s="12"/>
      <c r="U201" s="12"/>
      <c r="V201" s="12"/>
      <c r="W201" s="19"/>
      <c r="X201" s="116"/>
    </row>
    <row r="202" spans="1:24" ht="12.75">
      <c r="A202" s="60"/>
      <c r="B202" s="61"/>
      <c r="C202" s="62"/>
      <c r="D202" s="65"/>
      <c r="E202" s="44" t="s">
        <v>292</v>
      </c>
      <c r="F202" s="33">
        <v>50</v>
      </c>
      <c r="G202" s="42" t="s">
        <v>35</v>
      </c>
      <c r="H202" s="43"/>
      <c r="I202" s="43"/>
      <c r="J202" s="36">
        <f>+J69</f>
        <v>6</v>
      </c>
      <c r="K202" s="37">
        <f t="shared" si="11"/>
        <v>300</v>
      </c>
      <c r="L202" s="31"/>
      <c r="M202" s="72"/>
      <c r="N202" s="73"/>
      <c r="O202" s="74"/>
      <c r="P202" s="75">
        <f t="shared" si="16"/>
      </c>
      <c r="Q202" s="76"/>
      <c r="S202" s="110"/>
      <c r="T202" s="12"/>
      <c r="U202" s="12"/>
      <c r="V202" s="12"/>
      <c r="W202" s="19"/>
      <c r="X202" s="116"/>
    </row>
    <row r="203" spans="1:24" ht="12.75">
      <c r="A203" s="60"/>
      <c r="B203" s="61"/>
      <c r="C203" s="62"/>
      <c r="D203" s="65"/>
      <c r="E203" s="44"/>
      <c r="F203" s="33"/>
      <c r="G203" s="42"/>
      <c r="H203" s="43"/>
      <c r="I203" s="43"/>
      <c r="J203" s="36"/>
      <c r="K203" s="37">
        <f t="shared" si="11"/>
      </c>
      <c r="L203" s="31"/>
      <c r="M203" s="72"/>
      <c r="N203" s="73"/>
      <c r="O203" s="74"/>
      <c r="P203" s="75">
        <f t="shared" si="16"/>
      </c>
      <c r="Q203" s="76"/>
      <c r="S203" s="110"/>
      <c r="T203" s="12"/>
      <c r="U203" s="12"/>
      <c r="V203" s="12"/>
      <c r="W203" s="19"/>
      <c r="X203" s="116"/>
    </row>
    <row r="204" spans="1:24" ht="12.75">
      <c r="A204" s="60"/>
      <c r="B204" s="61"/>
      <c r="C204" s="62"/>
      <c r="D204" s="65"/>
      <c r="E204" s="44" t="s">
        <v>293</v>
      </c>
      <c r="F204" s="33">
        <f>+F202</f>
        <v>50</v>
      </c>
      <c r="G204" s="42" t="s">
        <v>35</v>
      </c>
      <c r="H204" s="43"/>
      <c r="I204" s="43"/>
      <c r="J204" s="36">
        <f>spacep</f>
        <v>54.60000000000001</v>
      </c>
      <c r="K204" s="37">
        <f t="shared" si="11"/>
        <v>2730.0000000000005</v>
      </c>
      <c r="L204" s="31"/>
      <c r="M204" s="72"/>
      <c r="N204" s="73"/>
      <c r="O204" s="74"/>
      <c r="P204" s="75">
        <f t="shared" si="16"/>
      </c>
      <c r="Q204" s="76"/>
      <c r="S204" s="110"/>
      <c r="T204" s="12"/>
      <c r="U204" s="12"/>
      <c r="V204" s="12"/>
      <c r="W204" s="19"/>
      <c r="X204" s="116"/>
    </row>
    <row r="205" spans="1:24" ht="12.75">
      <c r="A205" s="60"/>
      <c r="B205" s="61"/>
      <c r="C205" s="62"/>
      <c r="D205" s="65"/>
      <c r="E205" s="44"/>
      <c r="F205" s="33"/>
      <c r="G205" s="42"/>
      <c r="H205" s="43"/>
      <c r="I205" s="43"/>
      <c r="J205" s="36"/>
      <c r="K205" s="37">
        <f t="shared" si="11"/>
      </c>
      <c r="L205" s="31"/>
      <c r="M205" s="72"/>
      <c r="N205" s="73"/>
      <c r="O205" s="74"/>
      <c r="P205" s="75">
        <f t="shared" si="16"/>
      </c>
      <c r="Q205" s="76"/>
      <c r="S205" s="110"/>
      <c r="T205" s="12"/>
      <c r="U205" s="12"/>
      <c r="V205" s="12"/>
      <c r="W205" s="19"/>
      <c r="X205" s="116"/>
    </row>
    <row r="206" spans="1:24" ht="12.75">
      <c r="A206" s="60"/>
      <c r="B206" s="61"/>
      <c r="C206" s="62"/>
      <c r="D206" s="65"/>
      <c r="E206" s="44" t="s">
        <v>294</v>
      </c>
      <c r="F206" s="33">
        <v>200</v>
      </c>
      <c r="G206" s="42" t="s">
        <v>108</v>
      </c>
      <c r="H206" s="43"/>
      <c r="I206" s="43"/>
      <c r="J206" s="36">
        <v>0.5</v>
      </c>
      <c r="K206" s="37">
        <f t="shared" si="11"/>
        <v>100</v>
      </c>
      <c r="L206" s="31"/>
      <c r="M206" s="72"/>
      <c r="N206" s="73"/>
      <c r="O206" s="74"/>
      <c r="P206" s="75">
        <f t="shared" si="16"/>
      </c>
      <c r="Q206" s="76"/>
      <c r="S206" s="110"/>
      <c r="T206" s="12"/>
      <c r="U206" s="12"/>
      <c r="V206" s="12"/>
      <c r="W206" s="19"/>
      <c r="X206" s="116"/>
    </row>
    <row r="207" spans="1:24" ht="12.75">
      <c r="A207" s="60"/>
      <c r="B207" s="61"/>
      <c r="C207" s="62"/>
      <c r="D207" s="65"/>
      <c r="E207" s="44"/>
      <c r="F207" s="33"/>
      <c r="G207" s="42"/>
      <c r="H207" s="43"/>
      <c r="I207" s="43"/>
      <c r="J207" s="36"/>
      <c r="K207" s="37">
        <f t="shared" si="11"/>
      </c>
      <c r="L207" s="31"/>
      <c r="M207" s="33"/>
      <c r="N207" s="42"/>
      <c r="O207" s="36"/>
      <c r="P207" s="37"/>
      <c r="Q207" s="54"/>
      <c r="S207" s="110"/>
      <c r="T207" s="12"/>
      <c r="U207" s="12"/>
      <c r="V207" s="12"/>
      <c r="W207" s="19"/>
      <c r="X207" s="116"/>
    </row>
    <row r="208" spans="1:24" ht="12.75">
      <c r="A208" s="60"/>
      <c r="B208" s="61"/>
      <c r="C208" s="62"/>
      <c r="D208" s="65"/>
      <c r="E208" s="44"/>
      <c r="F208" s="33"/>
      <c r="G208" s="42"/>
      <c r="H208" s="43"/>
      <c r="I208" s="43"/>
      <c r="J208" s="36"/>
      <c r="K208" s="37">
        <f t="shared" si="11"/>
      </c>
      <c r="L208" s="31"/>
      <c r="M208" s="33"/>
      <c r="N208" s="42"/>
      <c r="O208" s="36"/>
      <c r="P208" s="37"/>
      <c r="Q208" s="54"/>
      <c r="S208" s="110"/>
      <c r="T208" s="12"/>
      <c r="U208" s="12"/>
      <c r="V208" s="12"/>
      <c r="W208" s="19"/>
      <c r="X208" s="116"/>
    </row>
    <row r="209" spans="1:24" ht="38.25">
      <c r="A209" s="60"/>
      <c r="B209" s="61"/>
      <c r="C209" s="64"/>
      <c r="D209" s="63"/>
      <c r="E209" s="32" t="s">
        <v>140</v>
      </c>
      <c r="F209" s="33"/>
      <c r="G209" s="34"/>
      <c r="H209" s="39"/>
      <c r="I209" s="39"/>
      <c r="J209" s="36">
        <f>IF(+I209+H209&gt;0,I209+(H209*labour),"")</f>
      </c>
      <c r="K209" s="37">
        <f t="shared" si="11"/>
      </c>
      <c r="L209" s="126" t="s">
        <v>295</v>
      </c>
      <c r="M209" s="72"/>
      <c r="N209" s="73"/>
      <c r="O209" s="74"/>
      <c r="P209" s="75">
        <f>+IF(M209="item",O209,IF(M209&lt;&gt;0,M209*O209,""))</f>
      </c>
      <c r="Q209" s="76"/>
      <c r="S209" s="110"/>
      <c r="T209" s="12"/>
      <c r="U209" s="12"/>
      <c r="V209" s="12"/>
      <c r="W209" s="19"/>
      <c r="X209" s="116" t="s">
        <v>265</v>
      </c>
    </row>
    <row r="210" spans="1:24" ht="12.75">
      <c r="A210" s="60"/>
      <c r="B210" s="61"/>
      <c r="C210" s="62"/>
      <c r="D210" s="65"/>
      <c r="E210" s="77"/>
      <c r="F210" s="33"/>
      <c r="G210" s="42"/>
      <c r="H210" s="43"/>
      <c r="I210" s="43"/>
      <c r="J210" s="36"/>
      <c r="K210" s="37">
        <f t="shared" si="11"/>
      </c>
      <c r="L210" s="31"/>
      <c r="M210" s="33"/>
      <c r="N210" s="42"/>
      <c r="O210" s="36"/>
      <c r="P210" s="37"/>
      <c r="Q210" s="54"/>
      <c r="S210" s="110"/>
      <c r="T210" s="12"/>
      <c r="U210" s="12"/>
      <c r="V210" s="12"/>
      <c r="W210" s="19"/>
      <c r="X210" s="111"/>
    </row>
    <row r="211" spans="1:24" ht="12.75">
      <c r="A211" s="60"/>
      <c r="B211" s="61"/>
      <c r="C211" s="62"/>
      <c r="D211" s="65"/>
      <c r="E211" s="77" t="s">
        <v>142</v>
      </c>
      <c r="F211" s="33"/>
      <c r="G211" s="42"/>
      <c r="H211" s="43"/>
      <c r="I211" s="43"/>
      <c r="J211" s="36"/>
      <c r="K211" s="37">
        <f t="shared" si="11"/>
      </c>
      <c r="L211" s="31"/>
      <c r="M211" s="72"/>
      <c r="N211" s="73"/>
      <c r="O211" s="74"/>
      <c r="P211" s="75">
        <f aca="true" t="shared" si="17" ref="P211:P231">+IF(M211="item",O211,IF(M211&lt;&gt;0,M211*O211,""))</f>
      </c>
      <c r="Q211" s="76"/>
      <c r="S211" s="110"/>
      <c r="T211" s="12"/>
      <c r="U211" s="12"/>
      <c r="V211" s="12"/>
      <c r="W211" s="19"/>
      <c r="X211" s="111"/>
    </row>
    <row r="212" spans="1:24" ht="12.75">
      <c r="A212" s="60"/>
      <c r="B212" s="61"/>
      <c r="C212" s="62"/>
      <c r="D212" s="65"/>
      <c r="E212" s="77"/>
      <c r="F212" s="33"/>
      <c r="G212" s="42"/>
      <c r="H212" s="43"/>
      <c r="I212" s="43"/>
      <c r="J212" s="36"/>
      <c r="K212" s="37">
        <f t="shared" si="11"/>
      </c>
      <c r="L212" s="31"/>
      <c r="M212" s="72"/>
      <c r="N212" s="73"/>
      <c r="O212" s="74"/>
      <c r="P212" s="75">
        <f t="shared" si="17"/>
      </c>
      <c r="Q212" s="76"/>
      <c r="S212" s="110"/>
      <c r="T212" s="12"/>
      <c r="U212" s="12"/>
      <c r="V212" s="12"/>
      <c r="W212" s="19"/>
      <c r="X212" s="111"/>
    </row>
    <row r="213" spans="1:24" ht="12.75">
      <c r="A213" s="60"/>
      <c r="B213" s="61"/>
      <c r="C213" s="62"/>
      <c r="D213" s="65"/>
      <c r="E213" s="77"/>
      <c r="F213" s="33"/>
      <c r="G213" s="42"/>
      <c r="H213" s="43"/>
      <c r="I213" s="43"/>
      <c r="J213" s="36"/>
      <c r="K213" s="37">
        <f t="shared" si="11"/>
      </c>
      <c r="L213" s="31"/>
      <c r="M213" s="72"/>
      <c r="N213" s="73"/>
      <c r="O213" s="74"/>
      <c r="P213" s="75">
        <f t="shared" si="17"/>
      </c>
      <c r="Q213" s="76"/>
      <c r="S213" s="110"/>
      <c r="T213" s="12"/>
      <c r="U213" s="12"/>
      <c r="V213" s="12"/>
      <c r="W213" s="19"/>
      <c r="X213" s="111"/>
    </row>
    <row r="214" spans="1:24" ht="12.75">
      <c r="A214" s="60"/>
      <c r="B214" s="61"/>
      <c r="C214" s="62"/>
      <c r="D214" s="65"/>
      <c r="E214" s="77"/>
      <c r="F214" s="33"/>
      <c r="G214" s="42"/>
      <c r="H214" s="43"/>
      <c r="I214" s="43"/>
      <c r="J214" s="36"/>
      <c r="K214" s="37">
        <f t="shared" si="11"/>
      </c>
      <c r="L214" s="31"/>
      <c r="M214" s="72"/>
      <c r="N214" s="73"/>
      <c r="O214" s="74"/>
      <c r="P214" s="75">
        <f t="shared" si="17"/>
      </c>
      <c r="Q214" s="76"/>
      <c r="S214" s="110"/>
      <c r="T214" s="12"/>
      <c r="U214" s="12"/>
      <c r="V214" s="12"/>
      <c r="W214" s="19"/>
      <c r="X214" s="111"/>
    </row>
    <row r="215" spans="1:24" ht="12.75">
      <c r="A215" s="60"/>
      <c r="B215" s="61"/>
      <c r="C215" s="62"/>
      <c r="D215" s="65"/>
      <c r="E215" s="77"/>
      <c r="F215" s="33"/>
      <c r="G215" s="42"/>
      <c r="H215" s="43"/>
      <c r="I215" s="43"/>
      <c r="J215" s="36"/>
      <c r="K215" s="37"/>
      <c r="L215" s="31"/>
      <c r="M215" s="72"/>
      <c r="N215" s="73"/>
      <c r="O215" s="74"/>
      <c r="P215" s="75">
        <f t="shared" si="17"/>
      </c>
      <c r="Q215" s="76"/>
      <c r="S215" s="110"/>
      <c r="T215" s="12"/>
      <c r="U215" s="12"/>
      <c r="V215" s="12"/>
      <c r="W215" s="19"/>
      <c r="X215" s="111"/>
    </row>
    <row r="216" spans="1:24" ht="12.75">
      <c r="A216" s="60"/>
      <c r="B216" s="61"/>
      <c r="C216" s="62"/>
      <c r="D216" s="65"/>
      <c r="E216" s="77"/>
      <c r="F216" s="33"/>
      <c r="G216" s="42"/>
      <c r="H216" s="43"/>
      <c r="I216" s="43"/>
      <c r="J216" s="36"/>
      <c r="K216" s="37"/>
      <c r="L216" s="31"/>
      <c r="M216" s="72"/>
      <c r="N216" s="73"/>
      <c r="O216" s="74"/>
      <c r="P216" s="75">
        <f t="shared" si="17"/>
      </c>
      <c r="Q216" s="76"/>
      <c r="S216" s="110"/>
      <c r="T216" s="12"/>
      <c r="U216" s="12"/>
      <c r="V216" s="12"/>
      <c r="W216" s="19"/>
      <c r="X216" s="111"/>
    </row>
    <row r="217" spans="1:24" ht="12.75">
      <c r="A217" s="60"/>
      <c r="B217" s="61"/>
      <c r="C217" s="62"/>
      <c r="D217" s="65"/>
      <c r="E217" s="77"/>
      <c r="F217" s="33"/>
      <c r="G217" s="42"/>
      <c r="H217" s="43"/>
      <c r="I217" s="43"/>
      <c r="J217" s="36"/>
      <c r="K217" s="37"/>
      <c r="L217" s="31"/>
      <c r="M217" s="72"/>
      <c r="N217" s="73"/>
      <c r="O217" s="74"/>
      <c r="P217" s="75">
        <f t="shared" si="17"/>
      </c>
      <c r="Q217" s="76"/>
      <c r="S217" s="110"/>
      <c r="T217" s="12"/>
      <c r="U217" s="12"/>
      <c r="V217" s="12"/>
      <c r="W217" s="19"/>
      <c r="X217" s="111"/>
    </row>
    <row r="218" spans="1:24" ht="12.75">
      <c r="A218" s="60"/>
      <c r="B218" s="61"/>
      <c r="C218" s="62"/>
      <c r="D218" s="65"/>
      <c r="E218" s="77"/>
      <c r="F218" s="33"/>
      <c r="G218" s="42"/>
      <c r="H218" s="43"/>
      <c r="I218" s="43"/>
      <c r="J218" s="36"/>
      <c r="K218" s="37"/>
      <c r="L218" s="31"/>
      <c r="M218" s="72"/>
      <c r="N218" s="73"/>
      <c r="O218" s="74"/>
      <c r="P218" s="75">
        <f t="shared" si="17"/>
      </c>
      <c r="Q218" s="76"/>
      <c r="S218" s="110"/>
      <c r="T218" s="12"/>
      <c r="U218" s="12"/>
      <c r="V218" s="12"/>
      <c r="W218" s="19"/>
      <c r="X218" s="111"/>
    </row>
    <row r="219" spans="1:24" ht="12.75">
      <c r="A219" s="60"/>
      <c r="B219" s="61"/>
      <c r="C219" s="62"/>
      <c r="D219" s="65"/>
      <c r="E219" s="77"/>
      <c r="F219" s="33"/>
      <c r="G219" s="42"/>
      <c r="H219" s="43"/>
      <c r="I219" s="43"/>
      <c r="J219" s="36"/>
      <c r="K219" s="37"/>
      <c r="L219" s="31"/>
      <c r="M219" s="72"/>
      <c r="N219" s="73"/>
      <c r="O219" s="74"/>
      <c r="P219" s="75">
        <f t="shared" si="17"/>
      </c>
      <c r="Q219" s="76"/>
      <c r="S219" s="110"/>
      <c r="T219" s="12"/>
      <c r="U219" s="12"/>
      <c r="V219" s="12"/>
      <c r="W219" s="19"/>
      <c r="X219" s="111"/>
    </row>
    <row r="220" spans="1:24" ht="12.75">
      <c r="A220" s="60"/>
      <c r="B220" s="61"/>
      <c r="C220" s="62"/>
      <c r="D220" s="65"/>
      <c r="E220" s="77"/>
      <c r="F220" s="33"/>
      <c r="G220" s="42"/>
      <c r="H220" s="43"/>
      <c r="I220" s="43"/>
      <c r="J220" s="36"/>
      <c r="K220" s="37"/>
      <c r="L220" s="31"/>
      <c r="M220" s="72"/>
      <c r="N220" s="73"/>
      <c r="O220" s="74"/>
      <c r="P220" s="75">
        <f t="shared" si="17"/>
      </c>
      <c r="Q220" s="76"/>
      <c r="S220" s="110"/>
      <c r="T220" s="12"/>
      <c r="U220" s="12"/>
      <c r="V220" s="12"/>
      <c r="W220" s="19"/>
      <c r="X220" s="111"/>
    </row>
    <row r="221" spans="1:24" ht="12.75">
      <c r="A221" s="60"/>
      <c r="B221" s="61"/>
      <c r="C221" s="62"/>
      <c r="D221" s="65"/>
      <c r="E221" s="77"/>
      <c r="F221" s="33"/>
      <c r="G221" s="42"/>
      <c r="H221" s="43"/>
      <c r="I221" s="43"/>
      <c r="J221" s="36"/>
      <c r="K221" s="37"/>
      <c r="L221" s="31"/>
      <c r="M221" s="72"/>
      <c r="N221" s="73"/>
      <c r="O221" s="74"/>
      <c r="P221" s="75">
        <f t="shared" si="17"/>
      </c>
      <c r="Q221" s="76"/>
      <c r="S221" s="110"/>
      <c r="T221" s="12"/>
      <c r="U221" s="12"/>
      <c r="V221" s="12"/>
      <c r="W221" s="19"/>
      <c r="X221" s="111"/>
    </row>
    <row r="222" spans="1:24" ht="12.75">
      <c r="A222" s="60"/>
      <c r="B222" s="61"/>
      <c r="C222" s="62"/>
      <c r="D222" s="65"/>
      <c r="E222" s="77"/>
      <c r="F222" s="33"/>
      <c r="G222" s="42"/>
      <c r="H222" s="43"/>
      <c r="I222" s="43"/>
      <c r="J222" s="36"/>
      <c r="K222" s="37"/>
      <c r="L222" s="31"/>
      <c r="M222" s="72"/>
      <c r="N222" s="73"/>
      <c r="O222" s="74"/>
      <c r="P222" s="75">
        <f t="shared" si="17"/>
      </c>
      <c r="Q222" s="76"/>
      <c r="S222" s="110"/>
      <c r="T222" s="12"/>
      <c r="U222" s="12"/>
      <c r="V222" s="12"/>
      <c r="W222" s="19"/>
      <c r="X222" s="111"/>
    </row>
    <row r="223" spans="1:24" ht="12.75">
      <c r="A223" s="60"/>
      <c r="B223" s="61"/>
      <c r="C223" s="62"/>
      <c r="D223" s="65"/>
      <c r="E223" s="77"/>
      <c r="F223" s="33"/>
      <c r="G223" s="42"/>
      <c r="H223" s="43"/>
      <c r="I223" s="43"/>
      <c r="J223" s="36"/>
      <c r="K223" s="37"/>
      <c r="L223" s="31"/>
      <c r="M223" s="72"/>
      <c r="N223" s="73"/>
      <c r="O223" s="74"/>
      <c r="P223" s="75">
        <f t="shared" si="17"/>
      </c>
      <c r="Q223" s="76"/>
      <c r="S223" s="110"/>
      <c r="T223" s="12"/>
      <c r="U223" s="12"/>
      <c r="V223" s="12"/>
      <c r="W223" s="19"/>
      <c r="X223" s="111"/>
    </row>
    <row r="224" spans="1:24" ht="12.75">
      <c r="A224" s="60"/>
      <c r="B224" s="61"/>
      <c r="C224" s="62"/>
      <c r="D224" s="65"/>
      <c r="E224" s="77"/>
      <c r="F224" s="33"/>
      <c r="G224" s="42"/>
      <c r="H224" s="43"/>
      <c r="I224" s="43"/>
      <c r="J224" s="36"/>
      <c r="K224" s="37"/>
      <c r="L224" s="31"/>
      <c r="M224" s="72"/>
      <c r="N224" s="73"/>
      <c r="O224" s="74"/>
      <c r="P224" s="75">
        <f t="shared" si="17"/>
      </c>
      <c r="Q224" s="76"/>
      <c r="S224" s="110"/>
      <c r="T224" s="12"/>
      <c r="U224" s="12"/>
      <c r="V224" s="12"/>
      <c r="W224" s="19"/>
      <c r="X224" s="111"/>
    </row>
    <row r="225" spans="1:24" ht="12.75">
      <c r="A225" s="60"/>
      <c r="B225" s="61"/>
      <c r="C225" s="62"/>
      <c r="D225" s="65"/>
      <c r="E225" s="77"/>
      <c r="F225" s="33"/>
      <c r="G225" s="42"/>
      <c r="H225" s="43"/>
      <c r="I225" s="43"/>
      <c r="J225" s="36"/>
      <c r="K225" s="37"/>
      <c r="L225" s="31"/>
      <c r="M225" s="72"/>
      <c r="N225" s="73"/>
      <c r="O225" s="74"/>
      <c r="P225" s="75">
        <f t="shared" si="17"/>
      </c>
      <c r="Q225" s="76"/>
      <c r="S225" s="110"/>
      <c r="T225" s="12"/>
      <c r="U225" s="12"/>
      <c r="V225" s="12"/>
      <c r="W225" s="19"/>
      <c r="X225" s="111"/>
    </row>
    <row r="226" spans="1:24" ht="12.75">
      <c r="A226" s="60"/>
      <c r="B226" s="61"/>
      <c r="C226" s="62"/>
      <c r="D226" s="65"/>
      <c r="E226" s="77"/>
      <c r="F226" s="33"/>
      <c r="G226" s="42"/>
      <c r="H226" s="43"/>
      <c r="I226" s="43"/>
      <c r="J226" s="36"/>
      <c r="K226" s="37"/>
      <c r="L226" s="31"/>
      <c r="M226" s="72"/>
      <c r="N226" s="73"/>
      <c r="O226" s="74"/>
      <c r="P226" s="75">
        <f t="shared" si="17"/>
      </c>
      <c r="Q226" s="76"/>
      <c r="S226" s="110"/>
      <c r="T226" s="12"/>
      <c r="U226" s="12"/>
      <c r="V226" s="12"/>
      <c r="W226" s="19"/>
      <c r="X226" s="111"/>
    </row>
    <row r="227" spans="1:24" ht="12.75">
      <c r="A227" s="60"/>
      <c r="B227" s="61"/>
      <c r="C227" s="62"/>
      <c r="D227" s="65"/>
      <c r="E227" s="77"/>
      <c r="F227" s="33"/>
      <c r="G227" s="42"/>
      <c r="H227" s="43"/>
      <c r="I227" s="43"/>
      <c r="J227" s="36"/>
      <c r="K227" s="37"/>
      <c r="L227" s="31"/>
      <c r="M227" s="72"/>
      <c r="N227" s="73"/>
      <c r="O227" s="74"/>
      <c r="P227" s="75">
        <f t="shared" si="17"/>
      </c>
      <c r="Q227" s="76"/>
      <c r="S227" s="110"/>
      <c r="T227" s="12"/>
      <c r="U227" s="12"/>
      <c r="V227" s="12"/>
      <c r="W227" s="19"/>
      <c r="X227" s="111"/>
    </row>
    <row r="228" spans="1:24" ht="12.75">
      <c r="A228" s="60"/>
      <c r="B228" s="61"/>
      <c r="C228" s="62"/>
      <c r="D228" s="65"/>
      <c r="E228" s="77"/>
      <c r="F228" s="33"/>
      <c r="G228" s="42"/>
      <c r="H228" s="43"/>
      <c r="I228" s="43"/>
      <c r="J228" s="36"/>
      <c r="K228" s="37"/>
      <c r="L228" s="31"/>
      <c r="M228" s="72"/>
      <c r="N228" s="73"/>
      <c r="O228" s="74"/>
      <c r="P228" s="75">
        <f t="shared" si="17"/>
      </c>
      <c r="Q228" s="76"/>
      <c r="S228" s="110"/>
      <c r="T228" s="12"/>
      <c r="U228" s="12"/>
      <c r="V228" s="12"/>
      <c r="W228" s="19"/>
      <c r="X228" s="111"/>
    </row>
    <row r="229" spans="1:24" ht="12.75">
      <c r="A229" s="60"/>
      <c r="B229" s="61"/>
      <c r="C229" s="62"/>
      <c r="D229" s="65"/>
      <c r="E229" s="77"/>
      <c r="F229" s="33"/>
      <c r="G229" s="42"/>
      <c r="H229" s="43"/>
      <c r="I229" s="43"/>
      <c r="J229" s="36"/>
      <c r="K229" s="37"/>
      <c r="L229" s="31"/>
      <c r="M229" s="72"/>
      <c r="N229" s="73"/>
      <c r="O229" s="74"/>
      <c r="P229" s="75">
        <f t="shared" si="17"/>
      </c>
      <c r="Q229" s="76"/>
      <c r="S229" s="110"/>
      <c r="T229" s="12"/>
      <c r="U229" s="12"/>
      <c r="V229" s="12"/>
      <c r="W229" s="19"/>
      <c r="X229" s="111"/>
    </row>
    <row r="230" spans="1:24" ht="12.75">
      <c r="A230" s="60"/>
      <c r="B230" s="61"/>
      <c r="C230" s="62"/>
      <c r="D230" s="65"/>
      <c r="E230" s="77"/>
      <c r="F230" s="33"/>
      <c r="G230" s="42"/>
      <c r="H230" s="43"/>
      <c r="I230" s="43"/>
      <c r="J230" s="36"/>
      <c r="K230" s="37"/>
      <c r="L230" s="31"/>
      <c r="M230" s="72"/>
      <c r="N230" s="73"/>
      <c r="O230" s="74"/>
      <c r="P230" s="75">
        <f t="shared" si="17"/>
      </c>
      <c r="Q230" s="76"/>
      <c r="S230" s="110"/>
      <c r="T230" s="12"/>
      <c r="U230" s="12"/>
      <c r="V230" s="12"/>
      <c r="W230" s="19"/>
      <c r="X230" s="111"/>
    </row>
    <row r="231" spans="1:24" ht="12.75">
      <c r="A231" s="60"/>
      <c r="B231" s="61"/>
      <c r="C231" s="62"/>
      <c r="D231" s="65"/>
      <c r="E231" s="77"/>
      <c r="F231" s="33"/>
      <c r="G231" s="42"/>
      <c r="H231" s="43"/>
      <c r="I231" s="43"/>
      <c r="J231" s="36"/>
      <c r="K231" s="37">
        <f t="shared" si="11"/>
      </c>
      <c r="L231" s="31"/>
      <c r="M231" s="72"/>
      <c r="N231" s="73"/>
      <c r="O231" s="74"/>
      <c r="P231" s="75">
        <f t="shared" si="17"/>
      </c>
      <c r="Q231" s="76"/>
      <c r="S231" s="110"/>
      <c r="T231" s="12"/>
      <c r="U231" s="12"/>
      <c r="V231" s="12"/>
      <c r="W231" s="19"/>
      <c r="X231" s="111"/>
    </row>
    <row r="232" spans="1:24" ht="12.75">
      <c r="A232" s="60"/>
      <c r="B232" s="61"/>
      <c r="C232" s="62"/>
      <c r="D232" s="65"/>
      <c r="E232" s="77"/>
      <c r="F232" s="33"/>
      <c r="G232" s="42"/>
      <c r="H232" s="43"/>
      <c r="I232" s="43"/>
      <c r="J232" s="36"/>
      <c r="K232" s="37">
        <f t="shared" si="11"/>
      </c>
      <c r="L232" s="31"/>
      <c r="M232" s="33"/>
      <c r="N232" s="42"/>
      <c r="O232" s="36"/>
      <c r="P232" s="37"/>
      <c r="Q232" s="54"/>
      <c r="S232" s="110"/>
      <c r="T232" s="12"/>
      <c r="U232" s="12"/>
      <c r="V232" s="12"/>
      <c r="W232" s="19"/>
      <c r="X232" s="111"/>
    </row>
    <row r="233" spans="1:24" ht="12.75">
      <c r="A233" s="60"/>
      <c r="B233" s="61"/>
      <c r="C233" s="62"/>
      <c r="D233" s="65"/>
      <c r="E233" s="77"/>
      <c r="F233" s="33"/>
      <c r="G233" s="42"/>
      <c r="H233" s="43"/>
      <c r="I233" s="43"/>
      <c r="J233" s="36"/>
      <c r="K233" s="37">
        <f t="shared" si="11"/>
      </c>
      <c r="L233" s="31"/>
      <c r="M233" s="33"/>
      <c r="N233" s="42"/>
      <c r="O233" s="36"/>
      <c r="P233" s="37"/>
      <c r="Q233" s="54"/>
      <c r="S233" s="110"/>
      <c r="T233" s="12"/>
      <c r="U233" s="12"/>
      <c r="V233" s="12"/>
      <c r="W233" s="19"/>
      <c r="X233" s="111"/>
    </row>
    <row r="234" spans="1:24" ht="25.5">
      <c r="A234" s="60"/>
      <c r="B234" s="61"/>
      <c r="C234" s="62"/>
      <c r="D234" s="65"/>
      <c r="E234" s="77" t="s">
        <v>143</v>
      </c>
      <c r="F234" s="33"/>
      <c r="G234" s="42"/>
      <c r="H234" s="43"/>
      <c r="I234" s="43"/>
      <c r="J234" s="36"/>
      <c r="K234" s="53">
        <f>SUM(K236:K306)</f>
        <v>15309.83472222222</v>
      </c>
      <c r="L234" s="31" t="s">
        <v>227</v>
      </c>
      <c r="M234" s="72"/>
      <c r="N234" s="73"/>
      <c r="O234" s="74"/>
      <c r="P234" s="75">
        <f aca="true" t="shared" si="18" ref="P234:P297">+IF(M234="item",O234,IF(M234&lt;&gt;0,M234*O234,""))</f>
      </c>
      <c r="Q234" s="76"/>
      <c r="S234" s="110"/>
      <c r="T234" s="12"/>
      <c r="U234" s="12"/>
      <c r="V234" s="12"/>
      <c r="W234" s="19"/>
      <c r="X234" s="116" t="s">
        <v>265</v>
      </c>
    </row>
    <row r="235" spans="1:24" ht="12.75">
      <c r="A235" s="60"/>
      <c r="B235" s="61"/>
      <c r="C235" s="62"/>
      <c r="D235" s="65"/>
      <c r="E235" s="103" t="s">
        <v>228</v>
      </c>
      <c r="F235" s="33"/>
      <c r="G235" s="42"/>
      <c r="H235" s="43"/>
      <c r="I235" s="43"/>
      <c r="J235" s="36"/>
      <c r="K235" s="37">
        <f t="shared" si="11"/>
      </c>
      <c r="L235" s="31"/>
      <c r="M235" s="72"/>
      <c r="N235" s="73"/>
      <c r="O235" s="74"/>
      <c r="P235" s="75">
        <f t="shared" si="18"/>
      </c>
      <c r="Q235" s="76"/>
      <c r="S235" s="110"/>
      <c r="T235" s="12"/>
      <c r="U235" s="12"/>
      <c r="V235" s="12"/>
      <c r="W235" s="112"/>
      <c r="X235" s="111"/>
    </row>
    <row r="236" spans="1:24" ht="12.75">
      <c r="A236" s="60"/>
      <c r="B236" s="61"/>
      <c r="C236" s="62"/>
      <c r="D236" s="65"/>
      <c r="E236" s="44" t="s">
        <v>175</v>
      </c>
      <c r="F236" s="33"/>
      <c r="G236" s="42"/>
      <c r="H236" s="43"/>
      <c r="I236" s="43"/>
      <c r="J236" s="36"/>
      <c r="K236" s="37"/>
      <c r="M236" s="72"/>
      <c r="N236" s="73"/>
      <c r="O236" s="74"/>
      <c r="P236" s="75">
        <f t="shared" si="18"/>
      </c>
      <c r="Q236" s="76"/>
      <c r="S236" s="113"/>
      <c r="T236" s="12"/>
      <c r="U236" s="12"/>
      <c r="V236" s="12"/>
      <c r="W236" s="19"/>
      <c r="X236" s="111"/>
    </row>
    <row r="237" spans="1:24" ht="12.75">
      <c r="A237" s="60"/>
      <c r="B237" s="61"/>
      <c r="C237" s="62"/>
      <c r="D237" s="65"/>
      <c r="E237" s="44"/>
      <c r="F237" s="33"/>
      <c r="G237" s="42"/>
      <c r="H237" s="43"/>
      <c r="I237" s="43"/>
      <c r="J237" s="36"/>
      <c r="K237" s="37"/>
      <c r="L237" s="31"/>
      <c r="M237" s="72"/>
      <c r="N237" s="73"/>
      <c r="O237" s="74"/>
      <c r="P237" s="75">
        <f t="shared" si="18"/>
      </c>
      <c r="Q237" s="76"/>
      <c r="S237" s="121"/>
      <c r="T237" s="114"/>
      <c r="U237" s="12"/>
      <c r="V237" s="12"/>
      <c r="W237" s="19"/>
      <c r="X237" s="111"/>
    </row>
    <row r="238" spans="1:24" ht="12.75">
      <c r="A238" s="60"/>
      <c r="B238" s="61"/>
      <c r="C238" s="62"/>
      <c r="D238" s="65"/>
      <c r="E238" s="52" t="s">
        <v>180</v>
      </c>
      <c r="F238" s="33"/>
      <c r="G238" s="42"/>
      <c r="H238" s="43"/>
      <c r="I238" s="43"/>
      <c r="J238" s="36"/>
      <c r="K238" s="37"/>
      <c r="L238" s="31"/>
      <c r="M238" s="72"/>
      <c r="N238" s="73"/>
      <c r="O238" s="74"/>
      <c r="P238" s="75">
        <f t="shared" si="18"/>
      </c>
      <c r="Q238" s="76"/>
      <c r="S238" s="110"/>
      <c r="T238" s="12"/>
      <c r="U238" s="12"/>
      <c r="V238" s="12"/>
      <c r="W238" s="19"/>
      <c r="X238" s="111"/>
    </row>
    <row r="239" spans="1:24" ht="12.75">
      <c r="A239" s="60"/>
      <c r="B239" s="61"/>
      <c r="C239" s="62"/>
      <c r="D239" s="65"/>
      <c r="E239" s="44"/>
      <c r="F239" s="33"/>
      <c r="G239" s="42"/>
      <c r="H239" s="43"/>
      <c r="I239" s="43"/>
      <c r="J239" s="36"/>
      <c r="K239" s="37"/>
      <c r="L239" s="31"/>
      <c r="M239" s="72"/>
      <c r="N239" s="73"/>
      <c r="O239" s="74"/>
      <c r="P239" s="75">
        <f t="shared" si="18"/>
      </c>
      <c r="Q239" s="76"/>
      <c r="S239" s="110"/>
      <c r="T239" s="12"/>
      <c r="U239" s="12"/>
      <c r="V239" s="12"/>
      <c r="W239" s="19"/>
      <c r="X239" s="111"/>
    </row>
    <row r="240" spans="1:24" ht="12.75">
      <c r="A240" s="60"/>
      <c r="B240" s="61"/>
      <c r="C240" s="62"/>
      <c r="D240" s="65"/>
      <c r="E240" s="98" t="s">
        <v>176</v>
      </c>
      <c r="F240" s="33">
        <v>57</v>
      </c>
      <c r="G240" s="42" t="s">
        <v>35</v>
      </c>
      <c r="H240" s="43"/>
      <c r="I240" s="43"/>
      <c r="J240" s="36">
        <f>9.02*1.2</f>
        <v>10.824</v>
      </c>
      <c r="K240" s="37">
        <f>+IF(F240="item",J240,IF(F240&lt;&gt;0,F240*J240,""))</f>
        <v>616.968</v>
      </c>
      <c r="L240" s="6"/>
      <c r="M240" s="72"/>
      <c r="N240" s="73"/>
      <c r="O240" s="74"/>
      <c r="P240" s="75">
        <f t="shared" si="18"/>
      </c>
      <c r="Q240" s="76"/>
      <c r="S240" s="121"/>
      <c r="T240" s="114"/>
      <c r="U240" s="12"/>
      <c r="V240" s="12"/>
      <c r="W240" s="19"/>
      <c r="X240" s="111"/>
    </row>
    <row r="241" spans="1:24" ht="12.75">
      <c r="A241" s="60"/>
      <c r="B241" s="61"/>
      <c r="C241" s="62"/>
      <c r="D241" s="65"/>
      <c r="E241" s="98"/>
      <c r="F241" s="33"/>
      <c r="G241" s="42"/>
      <c r="H241" s="43"/>
      <c r="I241" s="43"/>
      <c r="J241" s="36"/>
      <c r="K241" s="37">
        <f>+IF(F241="item",J241,IF(F241&lt;&gt;0,F241*J241,""))</f>
      </c>
      <c r="L241" s="6"/>
      <c r="M241" s="72"/>
      <c r="N241" s="73"/>
      <c r="O241" s="74"/>
      <c r="P241" s="75">
        <f t="shared" si="18"/>
      </c>
      <c r="Q241" s="76"/>
      <c r="S241" s="110"/>
      <c r="T241" s="12"/>
      <c r="U241" s="12"/>
      <c r="V241" s="12"/>
      <c r="W241" s="19"/>
      <c r="X241" s="111"/>
    </row>
    <row r="242" spans="1:24" ht="12.75">
      <c r="A242" s="60"/>
      <c r="B242" s="61"/>
      <c r="C242" s="62"/>
      <c r="D242" s="65"/>
      <c r="E242" s="98" t="s">
        <v>201</v>
      </c>
      <c r="F242" s="33">
        <f>+F240</f>
        <v>57</v>
      </c>
      <c r="G242" s="42" t="s">
        <v>35</v>
      </c>
      <c r="H242" s="43"/>
      <c r="I242" s="43"/>
      <c r="J242" s="36">
        <v>0.5</v>
      </c>
      <c r="K242" s="37">
        <f>+IF(F242="item",J242,IF(F242&lt;&gt;0,F242*J242,""))</f>
        <v>28.5</v>
      </c>
      <c r="L242" s="6"/>
      <c r="M242" s="72"/>
      <c r="N242" s="73"/>
      <c r="O242" s="74"/>
      <c r="P242" s="75">
        <f t="shared" si="18"/>
      </c>
      <c r="Q242" s="76"/>
      <c r="S242" s="121"/>
      <c r="T242" s="114"/>
      <c r="U242" s="12"/>
      <c r="V242" s="12"/>
      <c r="W242" s="19"/>
      <c r="X242" s="111"/>
    </row>
    <row r="243" spans="1:24" ht="12.75">
      <c r="A243" s="60"/>
      <c r="B243" s="61"/>
      <c r="C243" s="62"/>
      <c r="D243" s="65"/>
      <c r="E243" s="52"/>
      <c r="F243" s="33"/>
      <c r="G243" s="42"/>
      <c r="H243" s="43"/>
      <c r="I243" s="43"/>
      <c r="J243" s="36">
        <f>IF(+I243+H243&gt;0,I243+(H243*labour),"")</f>
      </c>
      <c r="K243" s="37">
        <f>+IF(F243="item",J243,IF(F243&lt;&gt;0,F243*J243,""))</f>
      </c>
      <c r="L243" s="6"/>
      <c r="M243" s="72"/>
      <c r="N243" s="73"/>
      <c r="O243" s="74"/>
      <c r="P243" s="75">
        <f t="shared" si="18"/>
      </c>
      <c r="Q243" s="76"/>
      <c r="S243" s="110"/>
      <c r="T243" s="12"/>
      <c r="U243" s="12"/>
      <c r="V243" s="12"/>
      <c r="W243" s="19"/>
      <c r="X243" s="111"/>
    </row>
    <row r="244" spans="1:24" ht="12.75">
      <c r="A244" s="60"/>
      <c r="B244" s="61"/>
      <c r="C244" s="62"/>
      <c r="D244" s="65"/>
      <c r="E244" s="98" t="s">
        <v>177</v>
      </c>
      <c r="F244" s="33">
        <f>+F242</f>
        <v>57</v>
      </c>
      <c r="G244" s="42" t="s">
        <v>35</v>
      </c>
      <c r="H244" s="43">
        <v>0.15</v>
      </c>
      <c r="I244" s="43">
        <f>+iqadhesive</f>
        <v>9.450000000000001</v>
      </c>
      <c r="J244" s="36">
        <f>IF(+I244+H244&gt;0,I244+(H244*labour),"")</f>
        <v>13.950000000000001</v>
      </c>
      <c r="K244" s="37">
        <f>+IF(F244="item",J244,IF(F244&lt;&gt;0,F244*J244,""))</f>
        <v>795.1500000000001</v>
      </c>
      <c r="L244" s="6"/>
      <c r="M244" s="72"/>
      <c r="N244" s="73"/>
      <c r="O244" s="74"/>
      <c r="P244" s="75">
        <f t="shared" si="18"/>
      </c>
      <c r="Q244" s="76"/>
      <c r="S244" s="121"/>
      <c r="T244" s="114"/>
      <c r="U244" s="12"/>
      <c r="V244" s="12"/>
      <c r="W244" s="19"/>
      <c r="X244" s="111"/>
    </row>
    <row r="245" spans="1:24" ht="12.75">
      <c r="A245" s="60"/>
      <c r="B245" s="61"/>
      <c r="C245" s="62"/>
      <c r="D245" s="65"/>
      <c r="E245" s="52"/>
      <c r="F245" s="33"/>
      <c r="G245" s="42"/>
      <c r="H245" s="43"/>
      <c r="I245" s="43"/>
      <c r="J245" s="36"/>
      <c r="K245" s="37"/>
      <c r="L245" s="31"/>
      <c r="M245" s="72"/>
      <c r="N245" s="73"/>
      <c r="O245" s="74"/>
      <c r="P245" s="75">
        <f t="shared" si="18"/>
      </c>
      <c r="Q245" s="76"/>
      <c r="S245" s="110"/>
      <c r="T245" s="12"/>
      <c r="U245" s="12"/>
      <c r="V245" s="12"/>
      <c r="W245" s="19"/>
      <c r="X245" s="111"/>
    </row>
    <row r="246" spans="1:24" ht="12.75">
      <c r="A246" s="60"/>
      <c r="B246" s="61"/>
      <c r="C246" s="62"/>
      <c r="D246" s="65"/>
      <c r="E246" s="98" t="s">
        <v>200</v>
      </c>
      <c r="F246" s="33">
        <f>+F242</f>
        <v>57</v>
      </c>
      <c r="G246" s="42" t="s">
        <v>35</v>
      </c>
      <c r="H246" s="43">
        <v>0.25</v>
      </c>
      <c r="I246" s="39">
        <f>+iqtherm</f>
        <v>74.51388888888889</v>
      </c>
      <c r="J246" s="36">
        <f>IF(+I246+H246&gt;0,I246+(H246*labour),"")</f>
        <v>82.01388888888889</v>
      </c>
      <c r="K246" s="37">
        <f>+IF(F246="item",J246,IF(F246&lt;&gt;0,F246*J246,""))</f>
        <v>4674.791666666666</v>
      </c>
      <c r="L246" s="31"/>
      <c r="M246" s="72"/>
      <c r="N246" s="73"/>
      <c r="O246" s="74"/>
      <c r="P246" s="75">
        <f t="shared" si="18"/>
      </c>
      <c r="Q246" s="76"/>
      <c r="S246" s="121"/>
      <c r="T246" s="114"/>
      <c r="U246" s="12"/>
      <c r="V246" s="12"/>
      <c r="W246" s="19"/>
      <c r="X246" s="111"/>
    </row>
    <row r="247" spans="1:24" ht="12.75">
      <c r="A247" s="60"/>
      <c r="B247" s="61"/>
      <c r="C247" s="62"/>
      <c r="D247" s="65"/>
      <c r="E247" s="98"/>
      <c r="F247" s="33"/>
      <c r="G247" s="42"/>
      <c r="H247" s="43"/>
      <c r="I247" s="43"/>
      <c r="J247" s="36">
        <f aca="true" t="shared" si="19" ref="J247:J257">IF(+I247+H247&gt;0,I247+(H247*labour),"")</f>
      </c>
      <c r="K247" s="37">
        <f t="shared" si="11"/>
      </c>
      <c r="L247" s="31"/>
      <c r="M247" s="72"/>
      <c r="N247" s="73"/>
      <c r="O247" s="74"/>
      <c r="P247" s="75">
        <f t="shared" si="18"/>
      </c>
      <c r="Q247" s="76"/>
      <c r="S247" s="110"/>
      <c r="T247" s="12"/>
      <c r="U247" s="12"/>
      <c r="V247" s="12"/>
      <c r="W247" s="19"/>
      <c r="X247" s="111"/>
    </row>
    <row r="248" spans="1:24" ht="12.75">
      <c r="A248" s="60"/>
      <c r="B248" s="61"/>
      <c r="C248" s="62"/>
      <c r="D248" s="65"/>
      <c r="E248" s="98" t="s">
        <v>217</v>
      </c>
      <c r="F248" s="33">
        <f>+F246</f>
        <v>57</v>
      </c>
      <c r="G248" s="42" t="s">
        <v>35</v>
      </c>
      <c r="H248" s="43">
        <v>1</v>
      </c>
      <c r="I248" s="43">
        <f>iqtop</f>
        <v>20.3</v>
      </c>
      <c r="J248" s="36">
        <f t="shared" si="19"/>
        <v>50.3</v>
      </c>
      <c r="K248" s="37">
        <f t="shared" si="11"/>
        <v>2867.1</v>
      </c>
      <c r="L248" s="31"/>
      <c r="M248" s="72"/>
      <c r="N248" s="73"/>
      <c r="O248" s="74"/>
      <c r="P248" s="75">
        <f t="shared" si="18"/>
      </c>
      <c r="Q248" s="76"/>
      <c r="S248" s="121"/>
      <c r="T248" s="114"/>
      <c r="U248" s="12"/>
      <c r="V248" s="12"/>
      <c r="W248" s="19"/>
      <c r="X248" s="111"/>
    </row>
    <row r="249" spans="1:24" ht="12.75">
      <c r="A249" s="60"/>
      <c r="B249" s="61"/>
      <c r="C249" s="62"/>
      <c r="D249" s="65"/>
      <c r="E249" s="98"/>
      <c r="F249" s="33"/>
      <c r="G249" s="42"/>
      <c r="H249" s="43"/>
      <c r="I249" s="43"/>
      <c r="J249" s="36">
        <f t="shared" si="19"/>
      </c>
      <c r="K249" s="37">
        <f t="shared" si="11"/>
      </c>
      <c r="L249" s="31"/>
      <c r="M249" s="72"/>
      <c r="N249" s="73"/>
      <c r="O249" s="74"/>
      <c r="P249" s="75">
        <f t="shared" si="18"/>
      </c>
      <c r="Q249" s="76"/>
      <c r="S249" s="110"/>
      <c r="T249" s="12"/>
      <c r="U249" s="12"/>
      <c r="V249" s="12"/>
      <c r="W249" s="19"/>
      <c r="X249" s="111"/>
    </row>
    <row r="250" spans="1:24" ht="12.75">
      <c r="A250" s="60"/>
      <c r="B250" s="61"/>
      <c r="C250" s="62"/>
      <c r="D250" s="65"/>
      <c r="E250" s="98" t="s">
        <v>178</v>
      </c>
      <c r="F250" s="33">
        <f>+F248</f>
        <v>57</v>
      </c>
      <c r="G250" s="42" t="s">
        <v>35</v>
      </c>
      <c r="H250" s="43">
        <v>0.1</v>
      </c>
      <c r="I250" s="43">
        <f>+iqreinforce</f>
        <v>3.696</v>
      </c>
      <c r="J250" s="36">
        <f t="shared" si="19"/>
        <v>6.696</v>
      </c>
      <c r="K250" s="37">
        <f t="shared" si="11"/>
        <v>381.67199999999997</v>
      </c>
      <c r="L250" s="31"/>
      <c r="M250" s="72"/>
      <c r="N250" s="73"/>
      <c r="O250" s="74"/>
      <c r="P250" s="75">
        <f t="shared" si="18"/>
      </c>
      <c r="Q250" s="76"/>
      <c r="S250" s="121"/>
      <c r="T250" s="114"/>
      <c r="U250" s="12"/>
      <c r="V250" s="12"/>
      <c r="W250" s="19"/>
      <c r="X250" s="111"/>
    </row>
    <row r="251" spans="1:24" ht="12.75">
      <c r="A251" s="60"/>
      <c r="B251" s="61"/>
      <c r="C251" s="62"/>
      <c r="D251" s="65"/>
      <c r="E251" s="98"/>
      <c r="F251" s="33"/>
      <c r="G251" s="42"/>
      <c r="H251" s="43"/>
      <c r="I251" s="43"/>
      <c r="J251" s="36">
        <f t="shared" si="19"/>
      </c>
      <c r="K251" s="37">
        <f t="shared" si="11"/>
      </c>
      <c r="L251" s="31"/>
      <c r="M251" s="72"/>
      <c r="N251" s="73"/>
      <c r="O251" s="74"/>
      <c r="P251" s="75">
        <f t="shared" si="18"/>
      </c>
      <c r="Q251" s="76"/>
      <c r="S251" s="110"/>
      <c r="T251" s="12"/>
      <c r="U251" s="12"/>
      <c r="V251" s="12"/>
      <c r="W251" s="19"/>
      <c r="X251" s="111"/>
    </row>
    <row r="252" spans="1:24" ht="12.75">
      <c r="A252" s="60"/>
      <c r="B252" s="61"/>
      <c r="C252" s="62"/>
      <c r="D252" s="65"/>
      <c r="E252" s="98" t="s">
        <v>179</v>
      </c>
      <c r="F252" s="33">
        <f>+F250</f>
        <v>57</v>
      </c>
      <c r="G252" s="42" t="s">
        <v>35</v>
      </c>
      <c r="H252" s="43">
        <v>0.25</v>
      </c>
      <c r="I252" s="43">
        <f>+iqfinish</f>
        <v>5.6000000000000005</v>
      </c>
      <c r="J252" s="36">
        <f t="shared" si="19"/>
        <v>13.100000000000001</v>
      </c>
      <c r="K252" s="37">
        <f t="shared" si="11"/>
        <v>746.7</v>
      </c>
      <c r="L252" s="31"/>
      <c r="M252" s="72"/>
      <c r="N252" s="73"/>
      <c r="O252" s="74"/>
      <c r="P252" s="75">
        <f t="shared" si="18"/>
      </c>
      <c r="Q252" s="76"/>
      <c r="S252" s="121"/>
      <c r="T252" s="114"/>
      <c r="U252" s="12"/>
      <c r="V252" s="12"/>
      <c r="W252" s="19"/>
      <c r="X252" s="111"/>
    </row>
    <row r="253" spans="1:24" ht="12.75">
      <c r="A253" s="60"/>
      <c r="B253" s="61"/>
      <c r="C253" s="62"/>
      <c r="D253" s="65"/>
      <c r="E253" s="44"/>
      <c r="F253" s="33"/>
      <c r="G253" s="42"/>
      <c r="H253" s="43"/>
      <c r="I253" s="43"/>
      <c r="J253" s="36">
        <f t="shared" si="19"/>
      </c>
      <c r="K253" s="37">
        <f t="shared" si="11"/>
      </c>
      <c r="L253" s="31" t="s">
        <v>221</v>
      </c>
      <c r="M253" s="72"/>
      <c r="N253" s="73"/>
      <c r="O253" s="74"/>
      <c r="P253" s="75">
        <f t="shared" si="18"/>
      </c>
      <c r="Q253" s="76"/>
      <c r="S253" s="110"/>
      <c r="T253" s="12"/>
      <c r="U253" s="12"/>
      <c r="V253" s="12"/>
      <c r="W253" s="19"/>
      <c r="X253" s="111"/>
    </row>
    <row r="254" spans="1:24" ht="12.75">
      <c r="A254" s="60"/>
      <c r="B254" s="61"/>
      <c r="C254" s="62"/>
      <c r="D254" s="65"/>
      <c r="E254" s="52" t="s">
        <v>183</v>
      </c>
      <c r="F254" s="33"/>
      <c r="G254" s="42"/>
      <c r="H254" s="43"/>
      <c r="I254" s="43"/>
      <c r="J254" s="36">
        <f t="shared" si="19"/>
      </c>
      <c r="K254" s="37">
        <f t="shared" si="11"/>
      </c>
      <c r="L254" s="31" t="s">
        <v>222</v>
      </c>
      <c r="M254" s="72"/>
      <c r="N254" s="73"/>
      <c r="O254" s="74"/>
      <c r="P254" s="75">
        <f t="shared" si="18"/>
      </c>
      <c r="Q254" s="76"/>
      <c r="S254" s="110"/>
      <c r="T254" s="12"/>
      <c r="U254" s="12"/>
      <c r="V254" s="12"/>
      <c r="W254" s="19"/>
      <c r="X254" s="111"/>
    </row>
    <row r="255" spans="1:24" ht="12.75">
      <c r="A255" s="60"/>
      <c r="B255" s="61"/>
      <c r="C255" s="62"/>
      <c r="D255" s="65"/>
      <c r="E255" s="44"/>
      <c r="F255" s="33"/>
      <c r="G255" s="42"/>
      <c r="H255" s="43"/>
      <c r="I255" s="43"/>
      <c r="J255" s="36">
        <f t="shared" si="19"/>
      </c>
      <c r="K255" s="37">
        <f t="shared" si="11"/>
      </c>
      <c r="L255" s="31" t="s">
        <v>223</v>
      </c>
      <c r="M255" s="72"/>
      <c r="N255" s="73"/>
      <c r="O255" s="74"/>
      <c r="P255" s="75">
        <f t="shared" si="18"/>
      </c>
      <c r="Q255" s="76"/>
      <c r="S255" s="110"/>
      <c r="T255" s="12"/>
      <c r="U255" s="12"/>
      <c r="V255" s="12"/>
      <c r="W255" s="19"/>
      <c r="X255" s="111"/>
    </row>
    <row r="256" spans="1:24" ht="12.75">
      <c r="A256" s="60"/>
      <c r="B256" s="61"/>
      <c r="C256" s="62"/>
      <c r="D256" s="65"/>
      <c r="E256" s="98" t="s">
        <v>176</v>
      </c>
      <c r="F256" s="33">
        <v>10</v>
      </c>
      <c r="G256" s="42" t="s">
        <v>35</v>
      </c>
      <c r="H256" s="43"/>
      <c r="I256" s="43"/>
      <c r="J256" s="36">
        <f>+J240</f>
        <v>10.824</v>
      </c>
      <c r="K256" s="37">
        <f t="shared" si="11"/>
        <v>108.24</v>
      </c>
      <c r="L256" s="31" t="s">
        <v>224</v>
      </c>
      <c r="M256" s="72"/>
      <c r="N256" s="73"/>
      <c r="O256" s="74"/>
      <c r="P256" s="75">
        <f t="shared" si="18"/>
      </c>
      <c r="Q256" s="76"/>
      <c r="S256" s="121"/>
      <c r="T256" s="114"/>
      <c r="U256" s="12"/>
      <c r="V256" s="12"/>
      <c r="W256" s="19"/>
      <c r="X256" s="111"/>
    </row>
    <row r="257" spans="1:24" ht="12.75">
      <c r="A257" s="60"/>
      <c r="B257" s="61"/>
      <c r="C257" s="62"/>
      <c r="D257" s="65"/>
      <c r="E257" s="98"/>
      <c r="F257" s="33"/>
      <c r="G257" s="42"/>
      <c r="H257" s="43"/>
      <c r="I257" s="43"/>
      <c r="J257" s="36">
        <f t="shared" si="19"/>
      </c>
      <c r="K257" s="37">
        <f t="shared" si="11"/>
      </c>
      <c r="L257" s="31"/>
      <c r="M257" s="72"/>
      <c r="N257" s="73"/>
      <c r="O257" s="74"/>
      <c r="P257" s="75">
        <f t="shared" si="18"/>
      </c>
      <c r="Q257" s="76"/>
      <c r="S257" s="110"/>
      <c r="T257" s="12"/>
      <c r="U257" s="12"/>
      <c r="V257" s="12"/>
      <c r="W257" s="19"/>
      <c r="X257" s="111"/>
    </row>
    <row r="258" spans="1:24" ht="12.75">
      <c r="A258" s="60"/>
      <c r="B258" s="61"/>
      <c r="C258" s="62"/>
      <c r="D258" s="65"/>
      <c r="E258" s="98" t="s">
        <v>201</v>
      </c>
      <c r="F258" s="33">
        <f>+F256</f>
        <v>10</v>
      </c>
      <c r="G258" s="42" t="s">
        <v>35</v>
      </c>
      <c r="H258" s="43"/>
      <c r="I258" s="43"/>
      <c r="J258" s="36">
        <f>+J242</f>
        <v>0.5</v>
      </c>
      <c r="K258" s="37">
        <f t="shared" si="11"/>
        <v>5</v>
      </c>
      <c r="L258" s="31"/>
      <c r="M258" s="72"/>
      <c r="N258" s="73"/>
      <c r="O258" s="74"/>
      <c r="P258" s="75">
        <f t="shared" si="18"/>
      </c>
      <c r="Q258" s="76"/>
      <c r="S258" s="121"/>
      <c r="T258" s="114"/>
      <c r="U258" s="12"/>
      <c r="V258" s="12"/>
      <c r="W258" s="19"/>
      <c r="X258" s="111"/>
    </row>
    <row r="259" spans="1:24" ht="12.75">
      <c r="A259" s="60"/>
      <c r="B259" s="61"/>
      <c r="C259" s="62"/>
      <c r="D259" s="65"/>
      <c r="E259" s="52"/>
      <c r="F259" s="33"/>
      <c r="G259" s="42"/>
      <c r="H259" s="43"/>
      <c r="I259" s="43"/>
      <c r="J259" s="36"/>
      <c r="K259" s="37">
        <f t="shared" si="11"/>
      </c>
      <c r="L259" s="31"/>
      <c r="M259" s="72"/>
      <c r="N259" s="73"/>
      <c r="O259" s="74"/>
      <c r="P259" s="75">
        <f t="shared" si="18"/>
      </c>
      <c r="Q259" s="76"/>
      <c r="S259" s="110"/>
      <c r="T259" s="12"/>
      <c r="U259" s="12"/>
      <c r="V259" s="12"/>
      <c r="W259" s="19"/>
      <c r="X259" s="111"/>
    </row>
    <row r="260" spans="1:24" ht="12.75">
      <c r="A260" s="60"/>
      <c r="B260" s="61"/>
      <c r="C260" s="62"/>
      <c r="D260" s="65"/>
      <c r="E260" s="98" t="s">
        <v>177</v>
      </c>
      <c r="F260" s="33">
        <f>+F258</f>
        <v>10</v>
      </c>
      <c r="G260" s="42" t="s">
        <v>35</v>
      </c>
      <c r="H260" s="43">
        <v>0.15</v>
      </c>
      <c r="I260" s="43">
        <f>+iqadhesive</f>
        <v>9.450000000000001</v>
      </c>
      <c r="J260" s="36">
        <f>IF(+I260+H260&gt;0,I260+(H260*labour),"")</f>
        <v>13.950000000000001</v>
      </c>
      <c r="K260" s="37">
        <f t="shared" si="11"/>
        <v>139.5</v>
      </c>
      <c r="L260" s="31"/>
      <c r="M260" s="72"/>
      <c r="N260" s="73"/>
      <c r="O260" s="74"/>
      <c r="P260" s="75">
        <f t="shared" si="18"/>
      </c>
      <c r="Q260" s="76"/>
      <c r="S260" s="121"/>
      <c r="T260" s="114"/>
      <c r="U260" s="12"/>
      <c r="V260" s="12"/>
      <c r="W260" s="19"/>
      <c r="X260" s="111"/>
    </row>
    <row r="261" spans="1:24" ht="12.75">
      <c r="A261" s="60"/>
      <c r="B261" s="61"/>
      <c r="C261" s="62"/>
      <c r="D261" s="65"/>
      <c r="E261" s="98"/>
      <c r="F261" s="33"/>
      <c r="G261" s="42"/>
      <c r="H261" s="43"/>
      <c r="I261" s="43"/>
      <c r="J261" s="36">
        <f>IF(+I261+H261&gt;0,I261+(H261*labour),"")</f>
      </c>
      <c r="K261" s="37">
        <f t="shared" si="11"/>
      </c>
      <c r="L261" s="31"/>
      <c r="M261" s="72"/>
      <c r="N261" s="73"/>
      <c r="O261" s="74"/>
      <c r="P261" s="75">
        <f t="shared" si="18"/>
      </c>
      <c r="Q261" s="76"/>
      <c r="S261" s="110"/>
      <c r="T261" s="12"/>
      <c r="U261" s="12"/>
      <c r="V261" s="12"/>
      <c r="W261" s="19"/>
      <c r="X261" s="111"/>
    </row>
    <row r="262" spans="1:24" ht="12.75">
      <c r="A262" s="60"/>
      <c r="B262" s="61"/>
      <c r="C262" s="62"/>
      <c r="D262" s="65"/>
      <c r="E262" s="98" t="s">
        <v>182</v>
      </c>
      <c r="F262" s="33">
        <f>+F260</f>
        <v>10</v>
      </c>
      <c r="G262" s="42" t="s">
        <v>35</v>
      </c>
      <c r="H262" s="43">
        <v>0.25</v>
      </c>
      <c r="I262" s="43">
        <f>iqwedge</f>
        <v>67.96875</v>
      </c>
      <c r="J262" s="36">
        <f>IF(+I262+H262&gt;0,I262+(H262*labour),"")</f>
        <v>75.46875</v>
      </c>
      <c r="K262" s="37">
        <f>+IF(F262="item",J262,IF(F262&lt;&gt;0,F262*J262,""))</f>
        <v>754.6875</v>
      </c>
      <c r="L262" s="31"/>
      <c r="M262" s="72"/>
      <c r="N262" s="73"/>
      <c r="O262" s="74"/>
      <c r="P262" s="75">
        <f t="shared" si="18"/>
      </c>
      <c r="Q262" s="76"/>
      <c r="S262" s="121"/>
      <c r="T262" s="114"/>
      <c r="U262" s="12"/>
      <c r="V262" s="12"/>
      <c r="W262" s="19"/>
      <c r="X262" s="111"/>
    </row>
    <row r="263" spans="1:24" ht="12.75">
      <c r="A263" s="60"/>
      <c r="B263" s="61"/>
      <c r="C263" s="62"/>
      <c r="D263" s="65"/>
      <c r="E263" s="98"/>
      <c r="F263" s="33"/>
      <c r="G263" s="42"/>
      <c r="H263" s="43"/>
      <c r="I263" s="43"/>
      <c r="J263" s="36">
        <f>IF(+I263+H263&gt;0,I263+(H263*labour),"")</f>
      </c>
      <c r="K263" s="37">
        <f t="shared" si="11"/>
      </c>
      <c r="L263" s="31"/>
      <c r="M263" s="72"/>
      <c r="N263" s="73"/>
      <c r="O263" s="74"/>
      <c r="P263" s="75">
        <f t="shared" si="18"/>
      </c>
      <c r="Q263" s="76"/>
      <c r="S263" s="110"/>
      <c r="T263" s="12"/>
      <c r="U263" s="12"/>
      <c r="V263" s="12"/>
      <c r="W263" s="19"/>
      <c r="X263" s="111"/>
    </row>
    <row r="264" spans="1:24" ht="12.75">
      <c r="A264" s="60"/>
      <c r="B264" s="61"/>
      <c r="C264" s="62"/>
      <c r="D264" s="65"/>
      <c r="E264" s="98" t="s">
        <v>217</v>
      </c>
      <c r="F264" s="33">
        <f>+F256</f>
        <v>10</v>
      </c>
      <c r="G264" s="42" t="s">
        <v>35</v>
      </c>
      <c r="H264" s="43">
        <v>1</v>
      </c>
      <c r="I264" s="43">
        <f>iqtop</f>
        <v>20.3</v>
      </c>
      <c r="J264" s="36">
        <f>IF(+I264+H264&gt;0,I264+(H264*labour),"")</f>
        <v>50.3</v>
      </c>
      <c r="K264" s="37">
        <f t="shared" si="11"/>
        <v>503</v>
      </c>
      <c r="L264" s="31"/>
      <c r="M264" s="72"/>
      <c r="N264" s="73"/>
      <c r="O264" s="74"/>
      <c r="P264" s="75">
        <f t="shared" si="18"/>
      </c>
      <c r="Q264" s="76"/>
      <c r="S264" s="121"/>
      <c r="T264" s="114"/>
      <c r="U264" s="12"/>
      <c r="V264" s="12"/>
      <c r="W264" s="19"/>
      <c r="X264" s="111"/>
    </row>
    <row r="265" spans="1:24" ht="12.75">
      <c r="A265" s="60"/>
      <c r="B265" s="61"/>
      <c r="C265" s="62"/>
      <c r="D265" s="65"/>
      <c r="E265" s="98"/>
      <c r="F265" s="33"/>
      <c r="G265" s="42"/>
      <c r="H265" s="43"/>
      <c r="I265" s="43"/>
      <c r="J265" s="36"/>
      <c r="K265" s="37">
        <f t="shared" si="11"/>
      </c>
      <c r="L265" s="31"/>
      <c r="M265" s="72"/>
      <c r="N265" s="73"/>
      <c r="O265" s="74"/>
      <c r="P265" s="75">
        <f t="shared" si="18"/>
      </c>
      <c r="Q265" s="76"/>
      <c r="S265" s="110"/>
      <c r="T265" s="12"/>
      <c r="U265" s="12"/>
      <c r="V265" s="12"/>
      <c r="W265" s="19"/>
      <c r="X265" s="111"/>
    </row>
    <row r="266" spans="1:24" ht="12.75">
      <c r="A266" s="60"/>
      <c r="B266" s="61"/>
      <c r="C266" s="62"/>
      <c r="D266" s="65"/>
      <c r="E266" s="98" t="s">
        <v>178</v>
      </c>
      <c r="F266" s="33">
        <f>+F256</f>
        <v>10</v>
      </c>
      <c r="G266" s="42" t="s">
        <v>35</v>
      </c>
      <c r="H266" s="43">
        <v>0.1</v>
      </c>
      <c r="I266" s="43">
        <f>+iqreinforce</f>
        <v>3.696</v>
      </c>
      <c r="J266" s="36">
        <f>IF(+I266+H266&gt;0,I266+(H266*labour),"")</f>
        <v>6.696</v>
      </c>
      <c r="K266" s="37">
        <f>+IF(F266="item",J266,IF(F266&lt;&gt;0,F266*J266,""))</f>
        <v>66.96</v>
      </c>
      <c r="L266" s="31"/>
      <c r="M266" s="72"/>
      <c r="N266" s="73"/>
      <c r="O266" s="74"/>
      <c r="P266" s="75">
        <f t="shared" si="18"/>
      </c>
      <c r="Q266" s="76"/>
      <c r="S266" s="121"/>
      <c r="T266" s="114"/>
      <c r="U266" s="12"/>
      <c r="V266" s="12"/>
      <c r="W266" s="19"/>
      <c r="X266" s="111"/>
    </row>
    <row r="267" spans="1:24" ht="12.75">
      <c r="A267" s="60"/>
      <c r="B267" s="61"/>
      <c r="C267" s="62"/>
      <c r="D267" s="65"/>
      <c r="E267" s="98"/>
      <c r="F267" s="33"/>
      <c r="G267" s="42"/>
      <c r="H267" s="43"/>
      <c r="I267" s="43"/>
      <c r="J267" s="36"/>
      <c r="K267" s="37">
        <f t="shared" si="11"/>
      </c>
      <c r="L267" s="31"/>
      <c r="M267" s="72"/>
      <c r="N267" s="73"/>
      <c r="O267" s="74"/>
      <c r="P267" s="75">
        <f t="shared" si="18"/>
      </c>
      <c r="Q267" s="76"/>
      <c r="S267" s="110"/>
      <c r="T267" s="12"/>
      <c r="U267" s="12"/>
      <c r="V267" s="12"/>
      <c r="W267" s="19"/>
      <c r="X267" s="111"/>
    </row>
    <row r="268" spans="1:24" ht="12.75">
      <c r="A268" s="60"/>
      <c r="B268" s="61"/>
      <c r="C268" s="62"/>
      <c r="D268" s="65"/>
      <c r="E268" s="98" t="s">
        <v>179</v>
      </c>
      <c r="F268" s="33">
        <f>+F256</f>
        <v>10</v>
      </c>
      <c r="G268" s="42" t="s">
        <v>35</v>
      </c>
      <c r="H268" s="43">
        <v>0.25</v>
      </c>
      <c r="I268" s="43">
        <f>+iqfinish</f>
        <v>5.6000000000000005</v>
      </c>
      <c r="J268" s="36">
        <f>IF(+I268+H268&gt;0,I268+(H268*labour),"")</f>
        <v>13.100000000000001</v>
      </c>
      <c r="K268" s="37">
        <f>+IF(F268="item",J268,IF(F268&lt;&gt;0,F268*J268,""))</f>
        <v>131</v>
      </c>
      <c r="L268" s="31"/>
      <c r="M268" s="72"/>
      <c r="N268" s="73"/>
      <c r="O268" s="74"/>
      <c r="P268" s="75">
        <f t="shared" si="18"/>
      </c>
      <c r="Q268" s="76"/>
      <c r="S268" s="121"/>
      <c r="T268" s="114"/>
      <c r="U268" s="12"/>
      <c r="V268" s="12"/>
      <c r="W268" s="19"/>
      <c r="X268" s="111"/>
    </row>
    <row r="269" spans="1:24" ht="12.75">
      <c r="A269" s="60"/>
      <c r="B269" s="61"/>
      <c r="C269" s="62"/>
      <c r="D269" s="65"/>
      <c r="E269" s="44"/>
      <c r="F269" s="33"/>
      <c r="G269" s="42"/>
      <c r="H269" s="43"/>
      <c r="I269" s="43"/>
      <c r="J269" s="36"/>
      <c r="K269" s="37">
        <f t="shared" si="11"/>
      </c>
      <c r="L269" s="31"/>
      <c r="M269" s="72"/>
      <c r="N269" s="73"/>
      <c r="O269" s="74"/>
      <c r="P269" s="75">
        <f t="shared" si="18"/>
      </c>
      <c r="Q269" s="76"/>
      <c r="S269" s="110"/>
      <c r="T269" s="12"/>
      <c r="U269" s="12"/>
      <c r="V269" s="12"/>
      <c r="W269" s="19"/>
      <c r="X269" s="111"/>
    </row>
    <row r="270" spans="1:24" ht="12.75">
      <c r="A270" s="60"/>
      <c r="B270" s="61"/>
      <c r="C270" s="62"/>
      <c r="D270" s="65"/>
      <c r="E270" s="52" t="s">
        <v>181</v>
      </c>
      <c r="F270" s="33"/>
      <c r="G270" s="42"/>
      <c r="H270" s="43"/>
      <c r="I270" s="43"/>
      <c r="J270" s="36"/>
      <c r="K270" s="37">
        <f t="shared" si="11"/>
      </c>
      <c r="L270" s="31"/>
      <c r="M270" s="72"/>
      <c r="N270" s="73"/>
      <c r="O270" s="74"/>
      <c r="P270" s="75">
        <f t="shared" si="18"/>
      </c>
      <c r="Q270" s="76"/>
      <c r="S270" s="110"/>
      <c r="T270" s="12"/>
      <c r="U270" s="12"/>
      <c r="V270" s="12"/>
      <c r="W270" s="19"/>
      <c r="X270" s="111"/>
    </row>
    <row r="271" spans="1:24" ht="12.75">
      <c r="A271" s="60"/>
      <c r="B271" s="61"/>
      <c r="C271" s="62"/>
      <c r="D271" s="65"/>
      <c r="E271" s="44"/>
      <c r="F271" s="33"/>
      <c r="G271" s="42"/>
      <c r="H271" s="43"/>
      <c r="I271" s="43"/>
      <c r="J271" s="36"/>
      <c r="K271" s="37">
        <f t="shared" si="11"/>
      </c>
      <c r="L271" s="31"/>
      <c r="M271" s="72"/>
      <c r="N271" s="73"/>
      <c r="O271" s="74"/>
      <c r="P271" s="75">
        <f t="shared" si="18"/>
      </c>
      <c r="Q271" s="76"/>
      <c r="S271" s="110"/>
      <c r="T271" s="12"/>
      <c r="U271" s="12"/>
      <c r="V271" s="12"/>
      <c r="W271" s="19"/>
      <c r="X271" s="111"/>
    </row>
    <row r="272" spans="1:24" ht="12.75">
      <c r="A272" s="60"/>
      <c r="B272" s="61"/>
      <c r="C272" s="62"/>
      <c r="D272" s="65"/>
      <c r="E272" s="98" t="s">
        <v>176</v>
      </c>
      <c r="F272" s="33">
        <v>10</v>
      </c>
      <c r="G272" s="42" t="s">
        <v>35</v>
      </c>
      <c r="H272" s="43"/>
      <c r="I272" s="43"/>
      <c r="J272" s="36">
        <f>+J256</f>
        <v>10.824</v>
      </c>
      <c r="K272" s="37">
        <f aca="true" t="shared" si="20" ref="K272:K284">+IF(F272="item",J272,IF(F272&lt;&gt;0,F272*J272,""))</f>
        <v>108.24</v>
      </c>
      <c r="L272" s="31"/>
      <c r="M272" s="72"/>
      <c r="N272" s="73"/>
      <c r="O272" s="74"/>
      <c r="P272" s="75">
        <f t="shared" si="18"/>
      </c>
      <c r="Q272" s="76"/>
      <c r="S272" s="121"/>
      <c r="T272" s="114"/>
      <c r="U272" s="12"/>
      <c r="V272" s="12"/>
      <c r="W272" s="19"/>
      <c r="X272" s="111"/>
    </row>
    <row r="273" spans="1:24" ht="12.75">
      <c r="A273" s="60"/>
      <c r="B273" s="61"/>
      <c r="C273" s="62"/>
      <c r="D273" s="65"/>
      <c r="E273" s="98"/>
      <c r="F273" s="33"/>
      <c r="G273" s="42"/>
      <c r="H273" s="43"/>
      <c r="I273" s="43"/>
      <c r="J273" s="36">
        <f>IF(+I273+H273&gt;0,I273+(H273*labour),"")</f>
      </c>
      <c r="K273" s="37">
        <f t="shared" si="20"/>
      </c>
      <c r="L273" s="31"/>
      <c r="M273" s="72"/>
      <c r="N273" s="73"/>
      <c r="O273" s="74"/>
      <c r="P273" s="75">
        <f t="shared" si="18"/>
      </c>
      <c r="Q273" s="76"/>
      <c r="S273" s="110"/>
      <c r="T273" s="12"/>
      <c r="U273" s="12"/>
      <c r="V273" s="12"/>
      <c r="W273" s="19"/>
      <c r="X273" s="111"/>
    </row>
    <row r="274" spans="1:24" ht="12.75">
      <c r="A274" s="60"/>
      <c r="B274" s="61"/>
      <c r="C274" s="62"/>
      <c r="D274" s="65"/>
      <c r="E274" s="98" t="s">
        <v>201</v>
      </c>
      <c r="F274" s="33">
        <f>+F272</f>
        <v>10</v>
      </c>
      <c r="G274" s="42" t="s">
        <v>35</v>
      </c>
      <c r="H274" s="43"/>
      <c r="I274" s="43"/>
      <c r="J274" s="36">
        <f>+J258</f>
        <v>0.5</v>
      </c>
      <c r="K274" s="37">
        <f t="shared" si="20"/>
        <v>5</v>
      </c>
      <c r="L274" s="31"/>
      <c r="M274" s="72"/>
      <c r="N274" s="73"/>
      <c r="O274" s="74"/>
      <c r="P274" s="75">
        <f t="shared" si="18"/>
      </c>
      <c r="Q274" s="76"/>
      <c r="S274" s="121"/>
      <c r="T274" s="114"/>
      <c r="U274" s="12"/>
      <c r="V274" s="12"/>
      <c r="W274" s="19"/>
      <c r="X274" s="111"/>
    </row>
    <row r="275" spans="1:24" ht="12.75">
      <c r="A275" s="60"/>
      <c r="B275" s="61"/>
      <c r="C275" s="62"/>
      <c r="D275" s="65"/>
      <c r="E275" s="52"/>
      <c r="F275" s="33"/>
      <c r="G275" s="42"/>
      <c r="H275" s="43"/>
      <c r="I275" s="43"/>
      <c r="J275" s="36"/>
      <c r="K275" s="37">
        <f t="shared" si="20"/>
      </c>
      <c r="L275" s="31"/>
      <c r="M275" s="72"/>
      <c r="N275" s="73"/>
      <c r="O275" s="74"/>
      <c r="P275" s="75">
        <f t="shared" si="18"/>
      </c>
      <c r="Q275" s="76"/>
      <c r="S275" s="110"/>
      <c r="T275" s="12"/>
      <c r="U275" s="12"/>
      <c r="V275" s="12"/>
      <c r="W275" s="19"/>
      <c r="X275" s="111"/>
    </row>
    <row r="276" spans="1:24" ht="12.75">
      <c r="A276" s="60"/>
      <c r="B276" s="61"/>
      <c r="C276" s="62"/>
      <c r="D276" s="65"/>
      <c r="E276" s="98" t="s">
        <v>177</v>
      </c>
      <c r="F276" s="33">
        <f>+F274</f>
        <v>10</v>
      </c>
      <c r="G276" s="42" t="s">
        <v>35</v>
      </c>
      <c r="H276" s="43">
        <v>0.15</v>
      </c>
      <c r="I276" s="43">
        <f>+iqadhesive</f>
        <v>9.450000000000001</v>
      </c>
      <c r="J276" s="36">
        <f>IF(+I276+H276&gt;0,I276+(H276*labour),"")</f>
        <v>13.950000000000001</v>
      </c>
      <c r="K276" s="37">
        <f t="shared" si="20"/>
        <v>139.5</v>
      </c>
      <c r="L276" s="31"/>
      <c r="M276" s="72"/>
      <c r="N276" s="73"/>
      <c r="O276" s="74"/>
      <c r="P276" s="75">
        <f t="shared" si="18"/>
      </c>
      <c r="Q276" s="76"/>
      <c r="S276" s="121"/>
      <c r="T276" s="114"/>
      <c r="U276" s="12"/>
      <c r="V276" s="12"/>
      <c r="W276" s="19"/>
      <c r="X276" s="111"/>
    </row>
    <row r="277" spans="1:24" ht="12.75">
      <c r="A277" s="60"/>
      <c r="B277" s="61"/>
      <c r="C277" s="62"/>
      <c r="D277" s="65"/>
      <c r="E277" s="98"/>
      <c r="F277" s="33"/>
      <c r="G277" s="42"/>
      <c r="H277" s="43"/>
      <c r="I277" s="43"/>
      <c r="J277" s="36">
        <f>IF(+I277+H277&gt;0,I277+(H277*labour),"")</f>
      </c>
      <c r="K277" s="37">
        <f t="shared" si="20"/>
      </c>
      <c r="L277" s="31"/>
      <c r="M277" s="72"/>
      <c r="N277" s="73"/>
      <c r="O277" s="74"/>
      <c r="P277" s="75">
        <f t="shared" si="18"/>
      </c>
      <c r="Q277" s="76"/>
      <c r="S277" s="110"/>
      <c r="T277" s="12"/>
      <c r="U277" s="12"/>
      <c r="V277" s="12"/>
      <c r="W277" s="19"/>
      <c r="X277" s="111"/>
    </row>
    <row r="278" spans="1:24" ht="12.75">
      <c r="A278" s="60"/>
      <c r="B278" s="61"/>
      <c r="C278" s="62"/>
      <c r="D278" s="65"/>
      <c r="E278" s="98" t="s">
        <v>225</v>
      </c>
      <c r="F278" s="33">
        <f>+F276</f>
        <v>10</v>
      </c>
      <c r="G278" s="42" t="s">
        <v>35</v>
      </c>
      <c r="H278" s="43">
        <v>0.25</v>
      </c>
      <c r="I278" s="43">
        <f>iqreveal</f>
        <v>26.180555555555557</v>
      </c>
      <c r="J278" s="36">
        <f>IF(+I278+H278&gt;0,I278+(H278*labour),"")</f>
        <v>33.68055555555556</v>
      </c>
      <c r="K278" s="37">
        <f t="shared" si="20"/>
        <v>336.80555555555554</v>
      </c>
      <c r="L278" s="31"/>
      <c r="M278" s="72"/>
      <c r="N278" s="73"/>
      <c r="O278" s="74"/>
      <c r="P278" s="75">
        <f t="shared" si="18"/>
      </c>
      <c r="Q278" s="76"/>
      <c r="S278" s="121"/>
      <c r="T278" s="114"/>
      <c r="U278" s="12"/>
      <c r="V278" s="12"/>
      <c r="W278" s="19"/>
      <c r="X278" s="111"/>
    </row>
    <row r="279" spans="1:24" ht="12.75">
      <c r="A279" s="60"/>
      <c r="B279" s="61"/>
      <c r="C279" s="62"/>
      <c r="D279" s="65"/>
      <c r="E279" s="98"/>
      <c r="F279" s="33"/>
      <c r="G279" s="42"/>
      <c r="H279" s="43"/>
      <c r="I279" s="43"/>
      <c r="J279" s="36">
        <f>IF(+I279+H279&gt;0,I279+(H279*labour),"")</f>
      </c>
      <c r="K279" s="37">
        <f t="shared" si="20"/>
      </c>
      <c r="L279" s="31"/>
      <c r="M279" s="72"/>
      <c r="N279" s="73"/>
      <c r="O279" s="74"/>
      <c r="P279" s="75">
        <f t="shared" si="18"/>
      </c>
      <c r="Q279" s="76"/>
      <c r="S279" s="110"/>
      <c r="T279" s="12"/>
      <c r="U279" s="12"/>
      <c r="V279" s="12"/>
      <c r="W279" s="19"/>
      <c r="X279" s="111"/>
    </row>
    <row r="280" spans="1:24" ht="12.75">
      <c r="A280" s="60"/>
      <c r="B280" s="61"/>
      <c r="C280" s="62"/>
      <c r="D280" s="65"/>
      <c r="E280" s="98" t="s">
        <v>217</v>
      </c>
      <c r="F280" s="33">
        <f>+F272</f>
        <v>10</v>
      </c>
      <c r="G280" s="42" t="s">
        <v>35</v>
      </c>
      <c r="H280" s="43">
        <v>1</v>
      </c>
      <c r="I280" s="43">
        <f>iqtop</f>
        <v>20.3</v>
      </c>
      <c r="J280" s="36">
        <f>IF(+I280+H280&gt;0,I280+(H280*labour),"")</f>
        <v>50.3</v>
      </c>
      <c r="K280" s="37">
        <f t="shared" si="20"/>
        <v>503</v>
      </c>
      <c r="L280" s="31"/>
      <c r="M280" s="72"/>
      <c r="N280" s="73"/>
      <c r="O280" s="74"/>
      <c r="P280" s="75">
        <f t="shared" si="18"/>
      </c>
      <c r="Q280" s="76"/>
      <c r="S280" s="121"/>
      <c r="T280" s="114"/>
      <c r="U280" s="12"/>
      <c r="V280" s="12"/>
      <c r="W280" s="19"/>
      <c r="X280" s="111"/>
    </row>
    <row r="281" spans="1:24" ht="12.75">
      <c r="A281" s="60"/>
      <c r="B281" s="61"/>
      <c r="C281" s="62"/>
      <c r="D281" s="65"/>
      <c r="E281" s="98"/>
      <c r="F281" s="33"/>
      <c r="G281" s="42"/>
      <c r="H281" s="43"/>
      <c r="I281" s="43"/>
      <c r="J281" s="36"/>
      <c r="K281" s="37">
        <f t="shared" si="20"/>
      </c>
      <c r="L281" s="31"/>
      <c r="M281" s="72"/>
      <c r="N281" s="73"/>
      <c r="O281" s="74"/>
      <c r="P281" s="75">
        <f t="shared" si="18"/>
      </c>
      <c r="Q281" s="76"/>
      <c r="S281" s="110"/>
      <c r="T281" s="12"/>
      <c r="U281" s="12"/>
      <c r="V281" s="12"/>
      <c r="W281" s="19"/>
      <c r="X281" s="111"/>
    </row>
    <row r="282" spans="1:24" ht="12.75">
      <c r="A282" s="60"/>
      <c r="B282" s="61"/>
      <c r="C282" s="62"/>
      <c r="D282" s="65"/>
      <c r="E282" s="98" t="s">
        <v>178</v>
      </c>
      <c r="F282" s="33">
        <f>+F272</f>
        <v>10</v>
      </c>
      <c r="G282" s="42" t="s">
        <v>35</v>
      </c>
      <c r="H282" s="43">
        <v>0.1</v>
      </c>
      <c r="I282" s="43">
        <f>+iqreinforce</f>
        <v>3.696</v>
      </c>
      <c r="J282" s="36">
        <f>IF(+I282+H282&gt;0,I282+(H282*labour),"")</f>
        <v>6.696</v>
      </c>
      <c r="K282" s="37">
        <f t="shared" si="20"/>
        <v>66.96</v>
      </c>
      <c r="L282" s="31"/>
      <c r="M282" s="72"/>
      <c r="N282" s="73"/>
      <c r="O282" s="74"/>
      <c r="P282" s="75">
        <f t="shared" si="18"/>
      </c>
      <c r="Q282" s="76"/>
      <c r="S282" s="121"/>
      <c r="T282" s="114"/>
      <c r="U282" s="12"/>
      <c r="V282" s="12"/>
      <c r="W282" s="19"/>
      <c r="X282" s="111"/>
    </row>
    <row r="283" spans="1:24" ht="12.75">
      <c r="A283" s="60"/>
      <c r="B283" s="61"/>
      <c r="C283" s="62"/>
      <c r="D283" s="65"/>
      <c r="E283" s="98"/>
      <c r="F283" s="33"/>
      <c r="G283" s="42"/>
      <c r="H283" s="43"/>
      <c r="I283" s="43"/>
      <c r="J283" s="36"/>
      <c r="K283" s="37">
        <f t="shared" si="20"/>
      </c>
      <c r="L283" s="31"/>
      <c r="M283" s="72"/>
      <c r="N283" s="73"/>
      <c r="O283" s="74"/>
      <c r="P283" s="75">
        <f t="shared" si="18"/>
      </c>
      <c r="Q283" s="76"/>
      <c r="S283" s="110"/>
      <c r="T283" s="12"/>
      <c r="U283" s="12"/>
      <c r="V283" s="12"/>
      <c r="W283" s="19"/>
      <c r="X283" s="111"/>
    </row>
    <row r="284" spans="1:24" ht="12.75">
      <c r="A284" s="60"/>
      <c r="B284" s="61"/>
      <c r="C284" s="62"/>
      <c r="D284" s="65"/>
      <c r="E284" s="98" t="s">
        <v>179</v>
      </c>
      <c r="F284" s="33">
        <f>+F272</f>
        <v>10</v>
      </c>
      <c r="G284" s="42" t="s">
        <v>35</v>
      </c>
      <c r="H284" s="43">
        <v>0.25</v>
      </c>
      <c r="I284" s="43">
        <f>+iqfinish</f>
        <v>5.6000000000000005</v>
      </c>
      <c r="J284" s="36">
        <f>IF(+I284+H284&gt;0,I284+(H284*labour),"")</f>
        <v>13.100000000000001</v>
      </c>
      <c r="K284" s="37">
        <f t="shared" si="20"/>
        <v>131</v>
      </c>
      <c r="L284" s="31"/>
      <c r="M284" s="72"/>
      <c r="N284" s="73"/>
      <c r="O284" s="74"/>
      <c r="P284" s="75">
        <f t="shared" si="18"/>
      </c>
      <c r="Q284" s="76"/>
      <c r="S284" s="121"/>
      <c r="T284" s="114"/>
      <c r="U284" s="12"/>
      <c r="V284" s="12"/>
      <c r="W284" s="19"/>
      <c r="X284" s="111"/>
    </row>
    <row r="285" spans="1:24" ht="12.75">
      <c r="A285" s="60"/>
      <c r="B285" s="61"/>
      <c r="C285" s="62"/>
      <c r="D285" s="65"/>
      <c r="E285" s="44"/>
      <c r="F285" s="33"/>
      <c r="G285" s="42"/>
      <c r="H285" s="43"/>
      <c r="I285" s="43"/>
      <c r="J285" s="36"/>
      <c r="K285" s="37"/>
      <c r="L285" s="31"/>
      <c r="M285" s="72"/>
      <c r="N285" s="73"/>
      <c r="O285" s="74"/>
      <c r="P285" s="75">
        <f t="shared" si="18"/>
      </c>
      <c r="Q285" s="76"/>
      <c r="S285" s="110"/>
      <c r="T285" s="12"/>
      <c r="U285" s="12"/>
      <c r="V285" s="12"/>
      <c r="W285" s="19"/>
      <c r="X285" s="111"/>
    </row>
    <row r="286" spans="1:24" ht="12.75">
      <c r="A286" s="60"/>
      <c r="B286" s="61"/>
      <c r="C286" s="62"/>
      <c r="D286" s="65"/>
      <c r="E286" s="44" t="s">
        <v>185</v>
      </c>
      <c r="F286" s="33">
        <v>20</v>
      </c>
      <c r="G286" s="42" t="s">
        <v>108</v>
      </c>
      <c r="H286" s="43"/>
      <c r="I286" s="43"/>
      <c r="J286" s="36">
        <v>1.38</v>
      </c>
      <c r="K286" s="37">
        <f t="shared" si="11"/>
        <v>27.599999999999998</v>
      </c>
      <c r="L286" s="31" t="s">
        <v>188</v>
      </c>
      <c r="M286" s="72"/>
      <c r="N286" s="73"/>
      <c r="O286" s="74"/>
      <c r="P286" s="75">
        <f t="shared" si="18"/>
      </c>
      <c r="Q286" s="76"/>
      <c r="S286" s="121"/>
      <c r="T286" s="114"/>
      <c r="U286" s="12"/>
      <c r="V286" s="12"/>
      <c r="W286" s="19"/>
      <c r="X286" s="111"/>
    </row>
    <row r="287" spans="1:24" ht="12.75">
      <c r="A287" s="60"/>
      <c r="B287" s="61"/>
      <c r="C287" s="62"/>
      <c r="D287" s="65"/>
      <c r="E287" s="44"/>
      <c r="F287" s="33"/>
      <c r="G287" s="42"/>
      <c r="H287" s="43"/>
      <c r="I287" s="43"/>
      <c r="J287" s="36"/>
      <c r="K287" s="37">
        <f t="shared" si="11"/>
      </c>
      <c r="L287" s="31"/>
      <c r="M287" s="72"/>
      <c r="N287" s="73"/>
      <c r="O287" s="74"/>
      <c r="P287" s="75">
        <f t="shared" si="18"/>
      </c>
      <c r="Q287" s="76"/>
      <c r="S287" s="110"/>
      <c r="T287" s="12"/>
      <c r="U287" s="12"/>
      <c r="V287" s="12"/>
      <c r="W287" s="19"/>
      <c r="X287" s="111"/>
    </row>
    <row r="288" spans="1:24" ht="12.75">
      <c r="A288" s="60"/>
      <c r="B288" s="61"/>
      <c r="C288" s="62"/>
      <c r="D288" s="65"/>
      <c r="E288" s="44" t="s">
        <v>186</v>
      </c>
      <c r="F288" s="33">
        <v>20</v>
      </c>
      <c r="G288" s="42" t="s">
        <v>108</v>
      </c>
      <c r="H288" s="43"/>
      <c r="I288" s="43"/>
      <c r="J288" s="36">
        <v>3.29</v>
      </c>
      <c r="K288" s="37">
        <f t="shared" si="11"/>
        <v>65.8</v>
      </c>
      <c r="L288" s="31" t="s">
        <v>187</v>
      </c>
      <c r="M288" s="72"/>
      <c r="N288" s="73"/>
      <c r="O288" s="74"/>
      <c r="P288" s="75">
        <f t="shared" si="18"/>
      </c>
      <c r="Q288" s="76"/>
      <c r="S288" s="121"/>
      <c r="T288" s="114"/>
      <c r="U288" s="12"/>
      <c r="V288" s="12"/>
      <c r="W288" s="19"/>
      <c r="X288" s="111"/>
    </row>
    <row r="289" spans="1:24" ht="12.75">
      <c r="A289" s="60"/>
      <c r="B289" s="61"/>
      <c r="C289" s="62"/>
      <c r="D289" s="65"/>
      <c r="E289" s="44"/>
      <c r="F289" s="33"/>
      <c r="G289" s="42"/>
      <c r="H289" s="43"/>
      <c r="I289" s="43"/>
      <c r="J289" s="36"/>
      <c r="K289" s="37">
        <f t="shared" si="11"/>
      </c>
      <c r="L289" s="31"/>
      <c r="M289" s="72"/>
      <c r="N289" s="73"/>
      <c r="O289" s="74"/>
      <c r="P289" s="75">
        <f t="shared" si="18"/>
      </c>
      <c r="Q289" s="76"/>
      <c r="S289" s="110"/>
      <c r="T289" s="12"/>
      <c r="U289" s="12"/>
      <c r="V289" s="12"/>
      <c r="W289" s="19"/>
      <c r="X289" s="111"/>
    </row>
    <row r="290" spans="1:24" ht="12.75">
      <c r="A290" s="60"/>
      <c r="B290" s="61"/>
      <c r="C290" s="62"/>
      <c r="D290" s="65"/>
      <c r="E290" s="44" t="s">
        <v>189</v>
      </c>
      <c r="F290" s="33" t="s">
        <v>1</v>
      </c>
      <c r="G290" s="42"/>
      <c r="H290" s="43">
        <v>2</v>
      </c>
      <c r="I290" s="43">
        <v>50</v>
      </c>
      <c r="J290" s="36">
        <f aca="true" t="shared" si="21" ref="J290:J311">IF(+I290+H290&gt;0,I290+(H290*labour),"")</f>
        <v>110</v>
      </c>
      <c r="K290" s="37">
        <f t="shared" si="11"/>
        <v>110</v>
      </c>
      <c r="L290" s="31"/>
      <c r="M290" s="72"/>
      <c r="N290" s="73"/>
      <c r="O290" s="74"/>
      <c r="P290" s="75">
        <f t="shared" si="18"/>
      </c>
      <c r="Q290" s="76"/>
      <c r="S290" s="121"/>
      <c r="T290" s="114"/>
      <c r="U290" s="12"/>
      <c r="V290" s="12"/>
      <c r="W290" s="19"/>
      <c r="X290" s="111"/>
    </row>
    <row r="291" spans="1:24" ht="12.75">
      <c r="A291" s="60"/>
      <c r="B291" s="61"/>
      <c r="C291" s="62"/>
      <c r="D291" s="65"/>
      <c r="E291" s="44"/>
      <c r="F291" s="33"/>
      <c r="G291" s="42"/>
      <c r="H291" s="43"/>
      <c r="I291" s="43"/>
      <c r="J291" s="36">
        <f t="shared" si="21"/>
      </c>
      <c r="K291" s="37">
        <f t="shared" si="11"/>
      </c>
      <c r="L291" s="31"/>
      <c r="M291" s="72"/>
      <c r="N291" s="73"/>
      <c r="O291" s="74"/>
      <c r="P291" s="75">
        <f t="shared" si="18"/>
      </c>
      <c r="Q291" s="76"/>
      <c r="S291" s="110"/>
      <c r="T291" s="12"/>
      <c r="U291" s="12"/>
      <c r="V291" s="12"/>
      <c r="W291" s="19"/>
      <c r="X291" s="111"/>
    </row>
    <row r="292" spans="1:24" ht="12.75">
      <c r="A292" s="60"/>
      <c r="B292" s="61"/>
      <c r="C292" s="62"/>
      <c r="D292" s="65"/>
      <c r="E292" s="44" t="s">
        <v>190</v>
      </c>
      <c r="F292" s="33">
        <v>50</v>
      </c>
      <c r="G292" s="42" t="s">
        <v>108</v>
      </c>
      <c r="H292" s="43"/>
      <c r="I292" s="43"/>
      <c r="J292" s="36">
        <f>+J286</f>
        <v>1.38</v>
      </c>
      <c r="K292" s="37">
        <f t="shared" si="11"/>
        <v>69</v>
      </c>
      <c r="L292" s="31"/>
      <c r="M292" s="72"/>
      <c r="N292" s="73"/>
      <c r="O292" s="74"/>
      <c r="P292" s="75">
        <f t="shared" si="18"/>
      </c>
      <c r="Q292" s="76"/>
      <c r="S292" s="121"/>
      <c r="T292" s="114"/>
      <c r="U292" s="12"/>
      <c r="V292" s="12"/>
      <c r="W292" s="19"/>
      <c r="X292" s="111"/>
    </row>
    <row r="293" spans="1:24" ht="12.75">
      <c r="A293" s="60"/>
      <c r="B293" s="61"/>
      <c r="C293" s="62"/>
      <c r="D293" s="65"/>
      <c r="E293" s="44"/>
      <c r="F293" s="33"/>
      <c r="G293" s="42"/>
      <c r="H293" s="43"/>
      <c r="I293" s="43"/>
      <c r="J293" s="36">
        <f t="shared" si="21"/>
      </c>
      <c r="K293" s="37">
        <f t="shared" si="11"/>
      </c>
      <c r="L293" s="31"/>
      <c r="M293" s="72"/>
      <c r="N293" s="73"/>
      <c r="O293" s="74"/>
      <c r="P293" s="75">
        <f t="shared" si="18"/>
      </c>
      <c r="Q293" s="76"/>
      <c r="S293" s="110"/>
      <c r="T293" s="12"/>
      <c r="U293" s="12"/>
      <c r="V293" s="12"/>
      <c r="W293" s="19"/>
      <c r="X293" s="111"/>
    </row>
    <row r="294" spans="1:24" ht="12.75">
      <c r="A294" s="60"/>
      <c r="B294" s="61"/>
      <c r="C294" s="62"/>
      <c r="D294" s="65"/>
      <c r="E294" s="44" t="s">
        <v>191</v>
      </c>
      <c r="F294" s="33">
        <v>50</v>
      </c>
      <c r="G294" s="42" t="s">
        <v>108</v>
      </c>
      <c r="H294" s="43"/>
      <c r="I294" s="43"/>
      <c r="J294" s="36">
        <v>6.94</v>
      </c>
      <c r="K294" s="37">
        <f t="shared" si="11"/>
        <v>347</v>
      </c>
      <c r="L294" s="31" t="s">
        <v>193</v>
      </c>
      <c r="M294" s="72"/>
      <c r="N294" s="73"/>
      <c r="O294" s="74"/>
      <c r="P294" s="75">
        <f t="shared" si="18"/>
      </c>
      <c r="Q294" s="76"/>
      <c r="S294" s="121"/>
      <c r="T294" s="114"/>
      <c r="U294" s="12"/>
      <c r="V294" s="12"/>
      <c r="W294" s="19"/>
      <c r="X294" s="111"/>
    </row>
    <row r="295" spans="1:24" ht="12.75">
      <c r="A295" s="60"/>
      <c r="B295" s="61"/>
      <c r="C295" s="62"/>
      <c r="D295" s="65"/>
      <c r="E295" s="44"/>
      <c r="F295" s="33"/>
      <c r="G295" s="42"/>
      <c r="H295" s="43"/>
      <c r="I295" s="43"/>
      <c r="J295" s="36">
        <f t="shared" si="21"/>
      </c>
      <c r="K295" s="37">
        <f t="shared" si="11"/>
      </c>
      <c r="L295" s="31"/>
      <c r="M295" s="72"/>
      <c r="N295" s="73"/>
      <c r="O295" s="74"/>
      <c r="P295" s="75">
        <f t="shared" si="18"/>
      </c>
      <c r="Q295" s="76"/>
      <c r="S295" s="110"/>
      <c r="T295" s="12"/>
      <c r="U295" s="12"/>
      <c r="V295" s="12"/>
      <c r="W295" s="19"/>
      <c r="X295" s="111"/>
    </row>
    <row r="296" spans="1:24" ht="12.75">
      <c r="A296" s="60"/>
      <c r="B296" s="61"/>
      <c r="C296" s="62"/>
      <c r="D296" s="65"/>
      <c r="E296" s="44" t="s">
        <v>192</v>
      </c>
      <c r="F296" s="33">
        <v>50</v>
      </c>
      <c r="G296" s="42" t="s">
        <v>108</v>
      </c>
      <c r="H296" s="43"/>
      <c r="I296" s="43"/>
      <c r="J296" s="36">
        <f>+J288</f>
        <v>3.29</v>
      </c>
      <c r="K296" s="37">
        <f t="shared" si="11"/>
        <v>164.5</v>
      </c>
      <c r="L296" s="31"/>
      <c r="M296" s="72"/>
      <c r="N296" s="73"/>
      <c r="O296" s="74"/>
      <c r="P296" s="75">
        <f t="shared" si="18"/>
      </c>
      <c r="Q296" s="76"/>
      <c r="S296" s="121"/>
      <c r="T296" s="114"/>
      <c r="U296" s="12"/>
      <c r="V296" s="12"/>
      <c r="W296" s="19"/>
      <c r="X296" s="111"/>
    </row>
    <row r="297" spans="1:24" ht="12.75">
      <c r="A297" s="60"/>
      <c r="B297" s="61"/>
      <c r="C297" s="62"/>
      <c r="D297" s="65"/>
      <c r="E297" s="44"/>
      <c r="F297" s="33"/>
      <c r="G297" s="42"/>
      <c r="H297" s="43"/>
      <c r="I297" s="43"/>
      <c r="J297" s="36">
        <f t="shared" si="21"/>
      </c>
      <c r="K297" s="37">
        <f t="shared" si="11"/>
      </c>
      <c r="L297" s="31"/>
      <c r="M297" s="72"/>
      <c r="N297" s="73"/>
      <c r="O297" s="74"/>
      <c r="P297" s="75">
        <f t="shared" si="18"/>
      </c>
      <c r="Q297" s="76"/>
      <c r="S297" s="110"/>
      <c r="T297" s="12"/>
      <c r="U297" s="12"/>
      <c r="V297" s="12"/>
      <c r="W297" s="19"/>
      <c r="X297" s="111"/>
    </row>
    <row r="298" spans="1:24" ht="25.5">
      <c r="A298" s="60"/>
      <c r="B298" s="61"/>
      <c r="C298" s="62"/>
      <c r="D298" s="65"/>
      <c r="E298" s="44" t="s">
        <v>194</v>
      </c>
      <c r="F298" s="33" t="s">
        <v>1</v>
      </c>
      <c r="G298" s="42"/>
      <c r="H298" s="43"/>
      <c r="I298" s="43">
        <v>100</v>
      </c>
      <c r="J298" s="36">
        <f t="shared" si="21"/>
        <v>100</v>
      </c>
      <c r="K298" s="37">
        <f t="shared" si="11"/>
        <v>100</v>
      </c>
      <c r="L298" s="31"/>
      <c r="M298" s="72"/>
      <c r="N298" s="73"/>
      <c r="O298" s="74"/>
      <c r="P298" s="75">
        <f aca="true" t="shared" si="22" ref="P298:P340">+IF(M298="item",O298,IF(M298&lt;&gt;0,M298*O298,""))</f>
      </c>
      <c r="Q298" s="76"/>
      <c r="S298" s="121"/>
      <c r="T298" s="114"/>
      <c r="U298" s="12"/>
      <c r="V298" s="12"/>
      <c r="W298" s="19"/>
      <c r="X298" s="111"/>
    </row>
    <row r="299" spans="1:24" ht="12.75">
      <c r="A299" s="60"/>
      <c r="B299" s="61"/>
      <c r="C299" s="62"/>
      <c r="D299" s="65"/>
      <c r="E299" s="44"/>
      <c r="F299" s="33"/>
      <c r="G299" s="42"/>
      <c r="H299" s="43"/>
      <c r="I299" s="43"/>
      <c r="J299" s="36">
        <f t="shared" si="21"/>
      </c>
      <c r="K299" s="37">
        <f t="shared" si="11"/>
      </c>
      <c r="L299" s="31"/>
      <c r="M299" s="72"/>
      <c r="N299" s="73"/>
      <c r="O299" s="74"/>
      <c r="P299" s="75">
        <f t="shared" si="22"/>
      </c>
      <c r="Q299" s="76"/>
      <c r="S299" s="110"/>
      <c r="T299" s="12"/>
      <c r="U299" s="12"/>
      <c r="V299" s="12"/>
      <c r="W299" s="19"/>
      <c r="X299" s="111"/>
    </row>
    <row r="300" spans="1:24" ht="12.75">
      <c r="A300" s="60"/>
      <c r="B300" s="61"/>
      <c r="C300" s="62"/>
      <c r="D300" s="65"/>
      <c r="E300" s="44" t="s">
        <v>195</v>
      </c>
      <c r="F300" s="33"/>
      <c r="G300" s="42"/>
      <c r="H300" s="43"/>
      <c r="I300" s="43"/>
      <c r="J300" s="36">
        <f t="shared" si="21"/>
      </c>
      <c r="K300" s="37">
        <f t="shared" si="11"/>
      </c>
      <c r="L300" s="31"/>
      <c r="M300" s="72"/>
      <c r="N300" s="73"/>
      <c r="O300" s="74"/>
      <c r="P300" s="75">
        <f t="shared" si="22"/>
      </c>
      <c r="Q300" s="76"/>
      <c r="S300" s="110"/>
      <c r="T300" s="12"/>
      <c r="U300" s="12"/>
      <c r="V300" s="12"/>
      <c r="W300" s="19"/>
      <c r="X300" s="111"/>
    </row>
    <row r="301" spans="1:24" ht="12.75">
      <c r="A301" s="60"/>
      <c r="B301" s="61"/>
      <c r="C301" s="62"/>
      <c r="D301" s="65"/>
      <c r="E301" s="44"/>
      <c r="F301" s="33"/>
      <c r="G301" s="42"/>
      <c r="H301" s="43"/>
      <c r="I301" s="43"/>
      <c r="J301" s="36">
        <f t="shared" si="21"/>
      </c>
      <c r="K301" s="37">
        <f t="shared" si="11"/>
      </c>
      <c r="L301" s="31"/>
      <c r="M301" s="72"/>
      <c r="N301" s="73"/>
      <c r="O301" s="74"/>
      <c r="P301" s="75">
        <f t="shared" si="22"/>
      </c>
      <c r="Q301" s="76"/>
      <c r="S301" s="110"/>
      <c r="T301" s="12"/>
      <c r="U301" s="12"/>
      <c r="V301" s="12"/>
      <c r="W301" s="19"/>
      <c r="X301" s="111"/>
    </row>
    <row r="302" spans="1:24" ht="12.75">
      <c r="A302" s="60"/>
      <c r="B302" s="61"/>
      <c r="C302" s="62"/>
      <c r="D302" s="65"/>
      <c r="E302" s="52" t="s">
        <v>196</v>
      </c>
      <c r="F302" s="33" t="s">
        <v>1</v>
      </c>
      <c r="G302" s="42"/>
      <c r="H302" s="43"/>
      <c r="I302" s="43"/>
      <c r="J302" s="36">
        <f>500*1.2</f>
        <v>600</v>
      </c>
      <c r="K302" s="37">
        <f t="shared" si="11"/>
        <v>600</v>
      </c>
      <c r="L302" s="31" t="s">
        <v>198</v>
      </c>
      <c r="M302" s="72"/>
      <c r="N302" s="73"/>
      <c r="O302" s="74"/>
      <c r="P302" s="75">
        <f t="shared" si="22"/>
      </c>
      <c r="Q302" s="76"/>
      <c r="S302" s="121"/>
      <c r="T302" s="114"/>
      <c r="U302" s="12"/>
      <c r="V302" s="12"/>
      <c r="W302" s="19"/>
      <c r="X302" s="111"/>
    </row>
    <row r="303" spans="1:24" ht="12.75">
      <c r="A303" s="60"/>
      <c r="B303" s="61"/>
      <c r="C303" s="62"/>
      <c r="D303" s="65"/>
      <c r="E303" s="44"/>
      <c r="F303" s="33"/>
      <c r="G303" s="42"/>
      <c r="H303" s="43"/>
      <c r="I303" s="43"/>
      <c r="J303" s="36">
        <f t="shared" si="21"/>
      </c>
      <c r="K303" s="37">
        <f t="shared" si="11"/>
      </c>
      <c r="L303" s="31"/>
      <c r="M303" s="72"/>
      <c r="N303" s="73"/>
      <c r="O303" s="74"/>
      <c r="P303" s="75">
        <f t="shared" si="22"/>
      </c>
      <c r="Q303" s="76"/>
      <c r="S303" s="110"/>
      <c r="T303" s="12"/>
      <c r="U303" s="12"/>
      <c r="V303" s="12"/>
      <c r="W303" s="19"/>
      <c r="X303" s="111"/>
    </row>
    <row r="304" spans="1:24" ht="12.75">
      <c r="A304" s="60"/>
      <c r="B304" s="61"/>
      <c r="C304" s="62"/>
      <c r="D304" s="65"/>
      <c r="E304" s="52" t="s">
        <v>197</v>
      </c>
      <c r="F304" s="33">
        <v>20</v>
      </c>
      <c r="G304" s="42" t="s">
        <v>108</v>
      </c>
      <c r="H304" s="43"/>
      <c r="I304" s="43"/>
      <c r="J304" s="36">
        <f>23*1.08*1.2</f>
        <v>29.808000000000003</v>
      </c>
      <c r="K304" s="37">
        <f t="shared" si="11"/>
        <v>596.1600000000001</v>
      </c>
      <c r="L304" s="31" t="s">
        <v>198</v>
      </c>
      <c r="M304" s="72"/>
      <c r="N304" s="73"/>
      <c r="O304" s="74"/>
      <c r="P304" s="75">
        <f t="shared" si="22"/>
      </c>
      <c r="Q304" s="76"/>
      <c r="S304" s="121"/>
      <c r="T304" s="114"/>
      <c r="U304" s="12"/>
      <c r="V304" s="12"/>
      <c r="W304" s="19"/>
      <c r="X304" s="111"/>
    </row>
    <row r="305" spans="1:24" ht="12.75">
      <c r="A305" s="60"/>
      <c r="B305" s="61"/>
      <c r="C305" s="62"/>
      <c r="D305" s="65"/>
      <c r="E305" s="44"/>
      <c r="F305" s="33"/>
      <c r="G305" s="42"/>
      <c r="H305" s="43"/>
      <c r="I305" s="43"/>
      <c r="J305" s="36">
        <f t="shared" si="21"/>
      </c>
      <c r="K305" s="37">
        <f t="shared" si="11"/>
      </c>
      <c r="L305" s="31"/>
      <c r="M305" s="72"/>
      <c r="N305" s="73"/>
      <c r="O305" s="74"/>
      <c r="P305" s="75">
        <f t="shared" si="22"/>
      </c>
      <c r="Q305" s="76"/>
      <c r="S305" s="110"/>
      <c r="T305" s="12"/>
      <c r="U305" s="12"/>
      <c r="V305" s="12"/>
      <c r="W305" s="19"/>
      <c r="X305" s="111"/>
    </row>
    <row r="306" spans="1:24" ht="12.75">
      <c r="A306" s="60"/>
      <c r="B306" s="61"/>
      <c r="C306" s="62"/>
      <c r="D306" s="65"/>
      <c r="E306" s="52" t="s">
        <v>199</v>
      </c>
      <c r="F306" s="33" t="s">
        <v>1</v>
      </c>
      <c r="G306" s="42"/>
      <c r="H306" s="43">
        <v>4</v>
      </c>
      <c r="I306" s="43"/>
      <c r="J306" s="36">
        <f t="shared" si="21"/>
        <v>120</v>
      </c>
      <c r="K306" s="37">
        <f t="shared" si="11"/>
        <v>120</v>
      </c>
      <c r="L306" s="31"/>
      <c r="M306" s="72"/>
      <c r="N306" s="73"/>
      <c r="O306" s="74"/>
      <c r="P306" s="75">
        <f t="shared" si="22"/>
      </c>
      <c r="Q306" s="76"/>
      <c r="S306" s="121"/>
      <c r="T306" s="114"/>
      <c r="U306" s="12"/>
      <c r="V306" s="12"/>
      <c r="W306" s="19"/>
      <c r="X306" s="111"/>
    </row>
    <row r="307" spans="1:24" ht="12.75">
      <c r="A307" s="60"/>
      <c r="B307" s="61"/>
      <c r="C307" s="62"/>
      <c r="D307" s="65"/>
      <c r="E307" s="44"/>
      <c r="F307" s="33"/>
      <c r="G307" s="42"/>
      <c r="H307" s="43"/>
      <c r="I307" s="43"/>
      <c r="J307" s="36">
        <f t="shared" si="21"/>
      </c>
      <c r="K307" s="37">
        <f t="shared" si="11"/>
      </c>
      <c r="L307" s="31"/>
      <c r="M307" s="72"/>
      <c r="N307" s="73"/>
      <c r="O307" s="74"/>
      <c r="P307" s="75">
        <f t="shared" si="22"/>
      </c>
      <c r="Q307" s="76"/>
      <c r="S307" s="110"/>
      <c r="T307" s="12"/>
      <c r="U307" s="12"/>
      <c r="V307" s="12"/>
      <c r="W307" s="19"/>
      <c r="X307" s="111"/>
    </row>
    <row r="308" spans="1:24" ht="12.75">
      <c r="A308" s="60"/>
      <c r="B308" s="61"/>
      <c r="C308" s="62"/>
      <c r="D308" s="65"/>
      <c r="E308" s="44"/>
      <c r="F308" s="33"/>
      <c r="G308" s="42"/>
      <c r="H308" s="43"/>
      <c r="I308" s="43"/>
      <c r="J308" s="36">
        <f t="shared" si="21"/>
      </c>
      <c r="K308" s="37">
        <f t="shared" si="11"/>
      </c>
      <c r="L308" s="31"/>
      <c r="M308" s="72"/>
      <c r="N308" s="73"/>
      <c r="O308" s="74"/>
      <c r="P308" s="75">
        <f t="shared" si="22"/>
      </c>
      <c r="Q308" s="76"/>
      <c r="S308" s="110"/>
      <c r="T308" s="12"/>
      <c r="U308" s="12"/>
      <c r="V308" s="12"/>
      <c r="W308" s="19"/>
      <c r="X308" s="111"/>
    </row>
    <row r="309" spans="1:24" ht="12.75">
      <c r="A309" s="60"/>
      <c r="B309" s="61"/>
      <c r="C309" s="62"/>
      <c r="D309" s="65"/>
      <c r="E309" s="103" t="s">
        <v>239</v>
      </c>
      <c r="F309" s="33"/>
      <c r="G309" s="42"/>
      <c r="H309" s="43"/>
      <c r="I309" s="43"/>
      <c r="J309" s="36">
        <f t="shared" si="21"/>
      </c>
      <c r="K309" s="37">
        <f t="shared" si="11"/>
      </c>
      <c r="L309" s="31"/>
      <c r="M309" s="72"/>
      <c r="N309" s="73"/>
      <c r="O309" s="74"/>
      <c r="P309" s="75">
        <f t="shared" si="22"/>
      </c>
      <c r="Q309" s="76"/>
      <c r="S309" s="110"/>
      <c r="T309" s="12"/>
      <c r="U309" s="12"/>
      <c r="V309" s="12"/>
      <c r="W309" s="19"/>
      <c r="X309" s="111"/>
    </row>
    <row r="310" spans="1:24" ht="12.75">
      <c r="A310" s="60"/>
      <c r="B310" s="61"/>
      <c r="C310" s="62"/>
      <c r="D310" s="65"/>
      <c r="E310" s="44"/>
      <c r="F310" s="33"/>
      <c r="G310" s="42"/>
      <c r="H310" s="43"/>
      <c r="I310" s="43"/>
      <c r="J310" s="36">
        <f t="shared" si="21"/>
      </c>
      <c r="K310" s="37">
        <f t="shared" si="11"/>
      </c>
      <c r="L310" s="31"/>
      <c r="M310" s="72"/>
      <c r="N310" s="73"/>
      <c r="O310" s="74"/>
      <c r="P310" s="75">
        <f t="shared" si="22"/>
      </c>
      <c r="Q310" s="76"/>
      <c r="S310" s="110"/>
      <c r="T310" s="12"/>
      <c r="U310" s="12"/>
      <c r="V310" s="12"/>
      <c r="W310" s="19"/>
      <c r="X310" s="111"/>
    </row>
    <row r="311" spans="1:24" ht="12.75">
      <c r="A311" s="60"/>
      <c r="B311" s="61"/>
      <c r="C311" s="62"/>
      <c r="D311" s="65"/>
      <c r="E311" s="44" t="s">
        <v>229</v>
      </c>
      <c r="F311" s="33">
        <v>150</v>
      </c>
      <c r="G311" s="42" t="s">
        <v>35</v>
      </c>
      <c r="H311" s="43">
        <v>0.25</v>
      </c>
      <c r="I311" s="43">
        <v>10</v>
      </c>
      <c r="J311" s="36">
        <f t="shared" si="21"/>
        <v>17.5</v>
      </c>
      <c r="K311" s="37">
        <f t="shared" si="11"/>
        <v>2625</v>
      </c>
      <c r="L311" s="31"/>
      <c r="M311" s="72"/>
      <c r="N311" s="73"/>
      <c r="O311" s="74"/>
      <c r="P311" s="75">
        <f t="shared" si="22"/>
      </c>
      <c r="Q311" s="76"/>
      <c r="S311" s="110"/>
      <c r="T311" s="12"/>
      <c r="U311" s="12"/>
      <c r="V311" s="12"/>
      <c r="W311" s="19"/>
      <c r="X311" s="111"/>
    </row>
    <row r="312" spans="1:24" ht="12.75">
      <c r="A312" s="60"/>
      <c r="B312" s="61"/>
      <c r="C312" s="62"/>
      <c r="D312" s="65"/>
      <c r="E312" s="44"/>
      <c r="F312" s="33"/>
      <c r="G312" s="42"/>
      <c r="H312" s="43"/>
      <c r="I312" s="43"/>
      <c r="J312" s="36"/>
      <c r="K312" s="37">
        <f t="shared" si="11"/>
      </c>
      <c r="L312" s="31"/>
      <c r="M312" s="72"/>
      <c r="N312" s="73"/>
      <c r="O312" s="74"/>
      <c r="P312" s="75">
        <f t="shared" si="22"/>
      </c>
      <c r="Q312" s="76"/>
      <c r="S312" s="110"/>
      <c r="T312" s="12"/>
      <c r="U312" s="12"/>
      <c r="V312" s="12"/>
      <c r="W312" s="19"/>
      <c r="X312" s="111"/>
    </row>
    <row r="313" spans="1:24" ht="25.5">
      <c r="A313" s="60"/>
      <c r="B313" s="61"/>
      <c r="C313" s="62"/>
      <c r="D313" s="65"/>
      <c r="E313" s="44" t="s">
        <v>230</v>
      </c>
      <c r="F313" s="33">
        <f>+F311</f>
        <v>150</v>
      </c>
      <c r="G313" s="42" t="s">
        <v>35</v>
      </c>
      <c r="H313" s="43"/>
      <c r="I313" s="43"/>
      <c r="J313" s="36">
        <v>13.22</v>
      </c>
      <c r="K313" s="37">
        <f t="shared" si="11"/>
        <v>1983</v>
      </c>
      <c r="L313" s="31" t="s">
        <v>231</v>
      </c>
      <c r="M313" s="72"/>
      <c r="N313" s="73"/>
      <c r="O313" s="74"/>
      <c r="P313" s="75">
        <f t="shared" si="22"/>
      </c>
      <c r="Q313" s="76"/>
      <c r="S313" s="110"/>
      <c r="T313" s="12"/>
      <c r="U313" s="12"/>
      <c r="V313" s="12"/>
      <c r="W313" s="19"/>
      <c r="X313" s="111"/>
    </row>
    <row r="314" spans="1:24" ht="12.75">
      <c r="A314" s="60"/>
      <c r="B314" s="61"/>
      <c r="C314" s="62"/>
      <c r="D314" s="65"/>
      <c r="E314" s="44"/>
      <c r="F314" s="33"/>
      <c r="G314" s="42"/>
      <c r="H314" s="43"/>
      <c r="I314" s="43"/>
      <c r="J314" s="36"/>
      <c r="K314" s="37">
        <f t="shared" si="11"/>
      </c>
      <c r="L314" s="31"/>
      <c r="M314" s="72"/>
      <c r="N314" s="73"/>
      <c r="O314" s="74"/>
      <c r="P314" s="75">
        <f t="shared" si="22"/>
      </c>
      <c r="Q314" s="76"/>
      <c r="S314" s="110"/>
      <c r="T314" s="12"/>
      <c r="U314" s="12"/>
      <c r="V314" s="12"/>
      <c r="W314" s="19"/>
      <c r="X314" s="111"/>
    </row>
    <row r="315" spans="1:24" ht="12.75">
      <c r="A315" s="60"/>
      <c r="B315" s="61"/>
      <c r="C315" s="62"/>
      <c r="D315" s="65"/>
      <c r="E315" s="44" t="s">
        <v>233</v>
      </c>
      <c r="F315" s="33">
        <f>+++F313</f>
        <v>150</v>
      </c>
      <c r="G315" s="42" t="s">
        <v>35</v>
      </c>
      <c r="H315" s="43"/>
      <c r="I315" s="43"/>
      <c r="J315" s="36">
        <v>9.86</v>
      </c>
      <c r="K315" s="37">
        <f t="shared" si="11"/>
        <v>1479</v>
      </c>
      <c r="L315" s="31" t="s">
        <v>232</v>
      </c>
      <c r="M315" s="72"/>
      <c r="N315" s="73"/>
      <c r="O315" s="74"/>
      <c r="P315" s="75">
        <f t="shared" si="22"/>
      </c>
      <c r="Q315" s="76"/>
      <c r="S315" s="110"/>
      <c r="T315" s="12"/>
      <c r="U315" s="12"/>
      <c r="V315" s="12"/>
      <c r="W315" s="19"/>
      <c r="X315" s="111"/>
    </row>
    <row r="316" spans="1:24" ht="12.75">
      <c r="A316" s="60"/>
      <c r="B316" s="61"/>
      <c r="C316" s="62"/>
      <c r="D316" s="65"/>
      <c r="E316" s="44"/>
      <c r="F316" s="33"/>
      <c r="G316" s="42"/>
      <c r="H316" s="43"/>
      <c r="I316" s="43"/>
      <c r="J316" s="36"/>
      <c r="K316" s="37">
        <f t="shared" si="11"/>
      </c>
      <c r="L316" s="31"/>
      <c r="M316" s="72"/>
      <c r="N316" s="73"/>
      <c r="O316" s="74"/>
      <c r="P316" s="75">
        <f t="shared" si="22"/>
      </c>
      <c r="Q316" s="76"/>
      <c r="S316" s="110"/>
      <c r="T316" s="12"/>
      <c r="U316" s="12"/>
      <c r="V316" s="12"/>
      <c r="W316" s="19"/>
      <c r="X316" s="111"/>
    </row>
    <row r="317" spans="1:24" ht="12.75">
      <c r="A317" s="60"/>
      <c r="B317" s="61"/>
      <c r="C317" s="62"/>
      <c r="D317" s="65"/>
      <c r="E317" s="44" t="s">
        <v>234</v>
      </c>
      <c r="F317" s="33">
        <f>+F315</f>
        <v>150</v>
      </c>
      <c r="G317" s="42" t="s">
        <v>35</v>
      </c>
      <c r="H317" s="43"/>
      <c r="I317" s="43"/>
      <c r="J317" s="36">
        <v>7.33</v>
      </c>
      <c r="K317" s="37">
        <f t="shared" si="11"/>
        <v>1099.5</v>
      </c>
      <c r="L317" s="31" t="s">
        <v>235</v>
      </c>
      <c r="M317" s="72"/>
      <c r="N317" s="73"/>
      <c r="O317" s="74"/>
      <c r="P317" s="75">
        <f t="shared" si="22"/>
      </c>
      <c r="Q317" s="76"/>
      <c r="S317" s="110"/>
      <c r="T317" s="12"/>
      <c r="U317" s="12"/>
      <c r="V317" s="12"/>
      <c r="W317" s="19"/>
      <c r="X317" s="111"/>
    </row>
    <row r="318" spans="1:24" ht="12.75">
      <c r="A318" s="60"/>
      <c r="B318" s="61"/>
      <c r="C318" s="62"/>
      <c r="D318" s="65"/>
      <c r="E318" s="44"/>
      <c r="F318" s="33"/>
      <c r="G318" s="42"/>
      <c r="H318" s="43"/>
      <c r="I318" s="43"/>
      <c r="J318" s="36"/>
      <c r="K318" s="37">
        <f t="shared" si="11"/>
      </c>
      <c r="L318" s="31"/>
      <c r="M318" s="72"/>
      <c r="N318" s="73"/>
      <c r="O318" s="74"/>
      <c r="P318" s="75">
        <f t="shared" si="22"/>
      </c>
      <c r="Q318" s="76"/>
      <c r="S318" s="110"/>
      <c r="T318" s="12"/>
      <c r="U318" s="12"/>
      <c r="V318" s="12"/>
      <c r="W318" s="19"/>
      <c r="X318" s="111"/>
    </row>
    <row r="319" spans="1:24" ht="25.5">
      <c r="A319" s="60"/>
      <c r="B319" s="61"/>
      <c r="C319" s="62"/>
      <c r="D319" s="65"/>
      <c r="E319" s="44" t="s">
        <v>236</v>
      </c>
      <c r="F319" s="33">
        <v>40</v>
      </c>
      <c r="G319" s="42" t="s">
        <v>108</v>
      </c>
      <c r="H319" s="43"/>
      <c r="I319" s="43"/>
      <c r="J319" s="36">
        <v>7.25</v>
      </c>
      <c r="K319" s="37">
        <f t="shared" si="11"/>
        <v>290</v>
      </c>
      <c r="L319" s="31" t="s">
        <v>184</v>
      </c>
      <c r="M319" s="72"/>
      <c r="N319" s="73"/>
      <c r="O319" s="74"/>
      <c r="P319" s="75">
        <f t="shared" si="22"/>
      </c>
      <c r="Q319" s="76"/>
      <c r="S319" s="110"/>
      <c r="T319" s="12"/>
      <c r="U319" s="12"/>
      <c r="V319" s="12"/>
      <c r="W319" s="19"/>
      <c r="X319" s="111"/>
    </row>
    <row r="320" spans="1:24" ht="12.75">
      <c r="A320" s="60"/>
      <c r="B320" s="61"/>
      <c r="C320" s="62"/>
      <c r="D320" s="65"/>
      <c r="E320" s="44"/>
      <c r="F320" s="33"/>
      <c r="G320" s="42"/>
      <c r="H320" s="43"/>
      <c r="I320" s="43"/>
      <c r="J320" s="36"/>
      <c r="K320" s="37">
        <f t="shared" si="11"/>
      </c>
      <c r="L320" s="31"/>
      <c r="M320" s="72"/>
      <c r="N320" s="73"/>
      <c r="O320" s="74"/>
      <c r="P320" s="75">
        <f t="shared" si="22"/>
      </c>
      <c r="Q320" s="76"/>
      <c r="S320" s="110"/>
      <c r="T320" s="12"/>
      <c r="U320" s="12"/>
      <c r="V320" s="12"/>
      <c r="W320" s="19"/>
      <c r="X320" s="111"/>
    </row>
    <row r="321" spans="1:24" ht="12.75">
      <c r="A321" s="60"/>
      <c r="B321" s="61"/>
      <c r="C321" s="62"/>
      <c r="D321" s="65"/>
      <c r="E321" s="44" t="s">
        <v>234</v>
      </c>
      <c r="F321" s="33">
        <f>+F319</f>
        <v>40</v>
      </c>
      <c r="G321" s="42" t="s">
        <v>108</v>
      </c>
      <c r="H321" s="43"/>
      <c r="I321" s="43"/>
      <c r="J321" s="36">
        <v>2.93</v>
      </c>
      <c r="K321" s="37">
        <f t="shared" si="11"/>
        <v>117.2</v>
      </c>
      <c r="L321" s="31" t="s">
        <v>235</v>
      </c>
      <c r="M321" s="72"/>
      <c r="N321" s="73"/>
      <c r="O321" s="74"/>
      <c r="P321" s="75">
        <f t="shared" si="22"/>
      </c>
      <c r="Q321" s="76"/>
      <c r="S321" s="110"/>
      <c r="T321" s="12"/>
      <c r="U321" s="12"/>
      <c r="V321" s="12"/>
      <c r="W321" s="19"/>
      <c r="X321" s="111"/>
    </row>
    <row r="322" spans="1:24" ht="12.75">
      <c r="A322" s="60"/>
      <c r="B322" s="61"/>
      <c r="C322" s="62"/>
      <c r="D322" s="65"/>
      <c r="E322" s="44"/>
      <c r="F322" s="33"/>
      <c r="G322" s="42"/>
      <c r="H322" s="43"/>
      <c r="I322" s="43"/>
      <c r="J322" s="36"/>
      <c r="K322" s="37">
        <f t="shared" si="11"/>
      </c>
      <c r="L322" s="31"/>
      <c r="M322" s="72"/>
      <c r="N322" s="73"/>
      <c r="O322" s="74"/>
      <c r="P322" s="75">
        <f t="shared" si="22"/>
      </c>
      <c r="Q322" s="76"/>
      <c r="S322" s="110"/>
      <c r="T322" s="12"/>
      <c r="U322" s="12"/>
      <c r="V322" s="12"/>
      <c r="W322" s="19"/>
      <c r="X322" s="111"/>
    </row>
    <row r="323" spans="1:24" ht="12.75">
      <c r="A323" s="60"/>
      <c r="B323" s="61"/>
      <c r="C323" s="62"/>
      <c r="D323" s="65"/>
      <c r="E323" s="44" t="s">
        <v>237</v>
      </c>
      <c r="F323" s="33" t="s">
        <v>1</v>
      </c>
      <c r="G323" s="42"/>
      <c r="H323" s="43"/>
      <c r="I323" s="43"/>
      <c r="J323" s="36">
        <v>100</v>
      </c>
      <c r="K323" s="37">
        <f t="shared" si="11"/>
        <v>100</v>
      </c>
      <c r="L323" s="31"/>
      <c r="M323" s="72"/>
      <c r="N323" s="73"/>
      <c r="O323" s="74"/>
      <c r="P323" s="75">
        <f t="shared" si="22"/>
      </c>
      <c r="Q323" s="76"/>
      <c r="S323" s="110"/>
      <c r="T323" s="12"/>
      <c r="U323" s="12"/>
      <c r="V323" s="12"/>
      <c r="W323" s="19"/>
      <c r="X323" s="111"/>
    </row>
    <row r="324" spans="1:24" ht="12.75">
      <c r="A324" s="60"/>
      <c r="B324" s="61"/>
      <c r="C324" s="62"/>
      <c r="D324" s="65"/>
      <c r="E324" s="44"/>
      <c r="F324" s="33"/>
      <c r="G324" s="42"/>
      <c r="H324" s="43"/>
      <c r="I324" s="43"/>
      <c r="J324" s="36"/>
      <c r="K324" s="37"/>
      <c r="L324" s="31"/>
      <c r="M324" s="72"/>
      <c r="N324" s="73"/>
      <c r="O324" s="74"/>
      <c r="P324" s="75">
        <f t="shared" si="22"/>
      </c>
      <c r="Q324" s="76"/>
      <c r="S324" s="110"/>
      <c r="T324" s="12"/>
      <c r="U324" s="12"/>
      <c r="V324" s="12"/>
      <c r="W324" s="19"/>
      <c r="X324" s="111"/>
    </row>
    <row r="325" spans="1:24" ht="12.75">
      <c r="A325" s="60"/>
      <c r="B325" s="61"/>
      <c r="C325" s="62"/>
      <c r="D325" s="65"/>
      <c r="E325" s="44"/>
      <c r="F325" s="33"/>
      <c r="G325" s="42"/>
      <c r="H325" s="43"/>
      <c r="I325" s="43"/>
      <c r="J325" s="36"/>
      <c r="K325" s="37"/>
      <c r="L325" s="31"/>
      <c r="M325" s="72"/>
      <c r="N325" s="73"/>
      <c r="O325" s="74"/>
      <c r="P325" s="75">
        <f t="shared" si="22"/>
      </c>
      <c r="Q325" s="76"/>
      <c r="S325" s="110"/>
      <c r="T325" s="12"/>
      <c r="U325" s="12"/>
      <c r="V325" s="12"/>
      <c r="W325" s="19"/>
      <c r="X325" s="111"/>
    </row>
    <row r="326" spans="1:24" ht="12.75">
      <c r="A326" s="60"/>
      <c r="B326" s="61"/>
      <c r="C326" s="62"/>
      <c r="D326" s="65"/>
      <c r="E326" s="103" t="s">
        <v>238</v>
      </c>
      <c r="F326" s="33"/>
      <c r="G326" s="42"/>
      <c r="H326" s="43"/>
      <c r="I326" s="43"/>
      <c r="J326" s="36">
        <f aca="true" t="shared" si="23" ref="J326:J332">IF(+I326+H326&gt;0,I326+(H326*labour),"")</f>
      </c>
      <c r="K326" s="37">
        <f aca="true" t="shared" si="24" ref="K326:K340">+IF(F326="item",J326,IF(F326&lt;&gt;0,F326*J326,""))</f>
      </c>
      <c r="L326" s="31"/>
      <c r="M326" s="72"/>
      <c r="N326" s="73"/>
      <c r="O326" s="74"/>
      <c r="P326" s="75">
        <f t="shared" si="22"/>
      </c>
      <c r="Q326" s="76"/>
      <c r="S326" s="110"/>
      <c r="T326" s="12"/>
      <c r="U326" s="12"/>
      <c r="V326" s="12"/>
      <c r="W326" s="19"/>
      <c r="X326" s="111"/>
    </row>
    <row r="327" spans="1:24" ht="12.75">
      <c r="A327" s="60"/>
      <c r="B327" s="61"/>
      <c r="C327" s="62"/>
      <c r="D327" s="65"/>
      <c r="E327" s="44"/>
      <c r="F327" s="33"/>
      <c r="G327" s="42"/>
      <c r="H327" s="43"/>
      <c r="I327" s="43"/>
      <c r="J327" s="36">
        <f t="shared" si="23"/>
      </c>
      <c r="K327" s="37">
        <f t="shared" si="24"/>
      </c>
      <c r="L327" s="31"/>
      <c r="M327" s="72"/>
      <c r="N327" s="73"/>
      <c r="O327" s="74"/>
      <c r="P327" s="75">
        <f t="shared" si="22"/>
      </c>
      <c r="Q327" s="76"/>
      <c r="S327" s="110"/>
      <c r="T327" s="12"/>
      <c r="U327" s="12"/>
      <c r="V327" s="12"/>
      <c r="W327" s="19"/>
      <c r="X327" s="111"/>
    </row>
    <row r="328" spans="1:24" ht="12.75">
      <c r="A328" s="60"/>
      <c r="B328" s="61"/>
      <c r="C328" s="62"/>
      <c r="D328" s="65"/>
      <c r="E328" s="44" t="s">
        <v>240</v>
      </c>
      <c r="F328" s="33">
        <v>300</v>
      </c>
      <c r="G328" s="42" t="s">
        <v>35</v>
      </c>
      <c r="H328" s="43">
        <v>0.5</v>
      </c>
      <c r="I328" s="43">
        <f>spacep</f>
        <v>54.60000000000001</v>
      </c>
      <c r="J328" s="36">
        <f t="shared" si="23"/>
        <v>69.60000000000001</v>
      </c>
      <c r="K328" s="37">
        <f t="shared" si="24"/>
        <v>20880.000000000004</v>
      </c>
      <c r="L328" s="31"/>
      <c r="M328" s="72"/>
      <c r="N328" s="73"/>
      <c r="O328" s="74"/>
      <c r="P328" s="75">
        <f t="shared" si="22"/>
      </c>
      <c r="Q328" s="76"/>
      <c r="S328" s="110"/>
      <c r="T328" s="12"/>
      <c r="U328" s="12"/>
      <c r="V328" s="12"/>
      <c r="W328" s="19"/>
      <c r="X328" s="111"/>
    </row>
    <row r="329" spans="1:24" ht="12.75">
      <c r="A329" s="60"/>
      <c r="B329" s="61"/>
      <c r="C329" s="62"/>
      <c r="D329" s="65"/>
      <c r="E329" s="44"/>
      <c r="F329" s="33"/>
      <c r="G329" s="42"/>
      <c r="H329" s="43"/>
      <c r="I329" s="43"/>
      <c r="J329" s="36"/>
      <c r="K329" s="37">
        <f t="shared" si="24"/>
      </c>
      <c r="L329" s="31"/>
      <c r="M329" s="72"/>
      <c r="N329" s="73"/>
      <c r="O329" s="74"/>
      <c r="P329" s="75">
        <f t="shared" si="22"/>
      </c>
      <c r="Q329" s="76"/>
      <c r="S329" s="110"/>
      <c r="T329" s="12"/>
      <c r="U329" s="12"/>
      <c r="V329" s="12"/>
      <c r="W329" s="19"/>
      <c r="X329" s="111"/>
    </row>
    <row r="330" spans="1:24" ht="12.75">
      <c r="A330" s="60"/>
      <c r="B330" s="61"/>
      <c r="C330" s="62"/>
      <c r="D330" s="65"/>
      <c r="E330" s="44" t="s">
        <v>234</v>
      </c>
      <c r="F330" s="33">
        <f>+F328</f>
        <v>300</v>
      </c>
      <c r="G330" s="42" t="s">
        <v>35</v>
      </c>
      <c r="H330" s="43"/>
      <c r="I330" s="43"/>
      <c r="J330" s="36">
        <v>7.33</v>
      </c>
      <c r="K330" s="37">
        <f>+IF(F330="item",J330,IF(F330&lt;&gt;0,F330*J330,""))</f>
        <v>2199</v>
      </c>
      <c r="L330" s="31" t="s">
        <v>235</v>
      </c>
      <c r="M330" s="72"/>
      <c r="N330" s="73"/>
      <c r="O330" s="74"/>
      <c r="P330" s="75">
        <f t="shared" si="22"/>
      </c>
      <c r="Q330" s="76"/>
      <c r="S330" s="110"/>
      <c r="T330" s="12"/>
      <c r="U330" s="12"/>
      <c r="V330" s="12"/>
      <c r="W330" s="19"/>
      <c r="X330" s="111"/>
    </row>
    <row r="331" spans="1:24" ht="12.75">
      <c r="A331" s="60"/>
      <c r="B331" s="61"/>
      <c r="C331" s="62"/>
      <c r="D331" s="65"/>
      <c r="E331" s="44"/>
      <c r="F331" s="33"/>
      <c r="G331" s="42"/>
      <c r="H331" s="43"/>
      <c r="I331" s="43"/>
      <c r="J331" s="36"/>
      <c r="K331" s="37"/>
      <c r="L331" s="31"/>
      <c r="M331" s="72"/>
      <c r="N331" s="73"/>
      <c r="O331" s="74"/>
      <c r="P331" s="75">
        <f t="shared" si="22"/>
      </c>
      <c r="Q331" s="76"/>
      <c r="S331" s="110"/>
      <c r="T331" s="12"/>
      <c r="U331" s="12"/>
      <c r="V331" s="12"/>
      <c r="W331" s="19"/>
      <c r="X331" s="111"/>
    </row>
    <row r="332" spans="1:24" ht="25.5">
      <c r="A332" s="60"/>
      <c r="B332" s="61"/>
      <c r="C332" s="62"/>
      <c r="D332" s="65"/>
      <c r="E332" s="44" t="s">
        <v>241</v>
      </c>
      <c r="F332" s="33">
        <v>100</v>
      </c>
      <c r="G332" s="42" t="s">
        <v>35</v>
      </c>
      <c r="H332" s="43">
        <v>0.25</v>
      </c>
      <c r="I332" s="43">
        <f>spacetherm</f>
        <v>46.8</v>
      </c>
      <c r="J332" s="36">
        <f t="shared" si="23"/>
        <v>54.3</v>
      </c>
      <c r="K332" s="37">
        <f t="shared" si="24"/>
        <v>5430</v>
      </c>
      <c r="L332" s="31" t="s">
        <v>231</v>
      </c>
      <c r="M332" s="72"/>
      <c r="N332" s="73"/>
      <c r="O332" s="74"/>
      <c r="P332" s="75">
        <f t="shared" si="22"/>
      </c>
      <c r="Q332" s="76"/>
      <c r="S332" s="110"/>
      <c r="T332" s="12"/>
      <c r="U332" s="12"/>
      <c r="V332" s="12"/>
      <c r="W332" s="19"/>
      <c r="X332" s="111"/>
    </row>
    <row r="333" spans="1:24" ht="12.75">
      <c r="A333" s="60"/>
      <c r="B333" s="61"/>
      <c r="C333" s="62"/>
      <c r="D333" s="65"/>
      <c r="E333" s="44"/>
      <c r="F333" s="33"/>
      <c r="G333" s="42"/>
      <c r="H333" s="43"/>
      <c r="I333" s="43"/>
      <c r="J333" s="36"/>
      <c r="K333" s="37">
        <f t="shared" si="24"/>
      </c>
      <c r="L333" s="31"/>
      <c r="M333" s="72"/>
      <c r="N333" s="73"/>
      <c r="O333" s="74"/>
      <c r="P333" s="75">
        <f t="shared" si="22"/>
      </c>
      <c r="Q333" s="76"/>
      <c r="S333" s="110"/>
      <c r="T333" s="12"/>
      <c r="U333" s="12"/>
      <c r="V333" s="12"/>
      <c r="W333" s="19"/>
      <c r="X333" s="111"/>
    </row>
    <row r="334" spans="1:24" ht="12.75">
      <c r="A334" s="60"/>
      <c r="B334" s="61"/>
      <c r="C334" s="62"/>
      <c r="D334" s="65"/>
      <c r="E334" s="44" t="s">
        <v>237</v>
      </c>
      <c r="F334" s="33" t="s">
        <v>1</v>
      </c>
      <c r="G334" s="42"/>
      <c r="H334" s="43"/>
      <c r="I334" s="43"/>
      <c r="J334" s="36">
        <v>300</v>
      </c>
      <c r="K334" s="37">
        <f t="shared" si="24"/>
        <v>300</v>
      </c>
      <c r="L334" s="31"/>
      <c r="M334" s="72"/>
      <c r="N334" s="73"/>
      <c r="O334" s="74"/>
      <c r="P334" s="75">
        <f t="shared" si="22"/>
      </c>
      <c r="Q334" s="76"/>
      <c r="S334" s="110"/>
      <c r="T334" s="12"/>
      <c r="U334" s="12"/>
      <c r="V334" s="12"/>
      <c r="W334" s="19"/>
      <c r="X334" s="111"/>
    </row>
    <row r="335" spans="1:24" ht="12.75">
      <c r="A335" s="60"/>
      <c r="B335" s="61"/>
      <c r="C335" s="62"/>
      <c r="D335" s="65"/>
      <c r="E335" s="44"/>
      <c r="F335" s="33"/>
      <c r="G335" s="42"/>
      <c r="H335" s="43"/>
      <c r="I335" s="43"/>
      <c r="J335" s="36"/>
      <c r="K335" s="37">
        <f t="shared" si="24"/>
      </c>
      <c r="L335" s="31"/>
      <c r="M335" s="72"/>
      <c r="N335" s="73"/>
      <c r="O335" s="74"/>
      <c r="P335" s="75">
        <f t="shared" si="22"/>
      </c>
      <c r="Q335" s="76"/>
      <c r="S335" s="110"/>
      <c r="T335" s="12"/>
      <c r="U335" s="12"/>
      <c r="V335" s="12"/>
      <c r="W335" s="19"/>
      <c r="X335" s="111"/>
    </row>
    <row r="336" spans="1:24" ht="12.75">
      <c r="A336" s="60"/>
      <c r="B336" s="61"/>
      <c r="C336" s="62"/>
      <c r="D336" s="65"/>
      <c r="E336" s="44" t="s">
        <v>248</v>
      </c>
      <c r="F336" s="33">
        <v>100</v>
      </c>
      <c r="G336" s="42" t="s">
        <v>35</v>
      </c>
      <c r="H336" s="43"/>
      <c r="I336" s="43"/>
      <c r="J336" s="36">
        <f>17.47*1.2</f>
        <v>20.964</v>
      </c>
      <c r="K336" s="37">
        <f t="shared" si="24"/>
        <v>2096.3999999999996</v>
      </c>
      <c r="L336" s="31" t="s">
        <v>245</v>
      </c>
      <c r="M336" s="72"/>
      <c r="N336" s="73"/>
      <c r="O336" s="74"/>
      <c r="P336" s="75">
        <f t="shared" si="22"/>
      </c>
      <c r="Q336" s="76"/>
      <c r="S336" s="110"/>
      <c r="T336" s="12"/>
      <c r="U336" s="12"/>
      <c r="V336" s="12"/>
      <c r="W336" s="19"/>
      <c r="X336" s="111"/>
    </row>
    <row r="337" spans="1:24" ht="12.75">
      <c r="A337" s="60"/>
      <c r="B337" s="61"/>
      <c r="C337" s="62"/>
      <c r="D337" s="65"/>
      <c r="E337" s="44"/>
      <c r="F337" s="33"/>
      <c r="G337" s="42"/>
      <c r="H337" s="43"/>
      <c r="I337" s="43"/>
      <c r="J337" s="36"/>
      <c r="K337" s="37">
        <f t="shared" si="24"/>
      </c>
      <c r="L337" s="31"/>
      <c r="M337" s="72"/>
      <c r="N337" s="73"/>
      <c r="O337" s="74"/>
      <c r="P337" s="75">
        <f t="shared" si="22"/>
      </c>
      <c r="Q337" s="76"/>
      <c r="S337" s="110"/>
      <c r="T337" s="12"/>
      <c r="U337" s="12"/>
      <c r="V337" s="12"/>
      <c r="W337" s="19"/>
      <c r="X337" s="111"/>
    </row>
    <row r="338" spans="1:24" ht="12.75">
      <c r="A338" s="60"/>
      <c r="B338" s="61"/>
      <c r="C338" s="62"/>
      <c r="D338" s="65"/>
      <c r="E338" s="44" t="s">
        <v>246</v>
      </c>
      <c r="F338" s="33">
        <f>+F336</f>
        <v>100</v>
      </c>
      <c r="G338" s="42" t="s">
        <v>35</v>
      </c>
      <c r="H338" s="43"/>
      <c r="I338" s="43"/>
      <c r="J338" s="36">
        <f>+J336</f>
        <v>20.964</v>
      </c>
      <c r="K338" s="37">
        <f t="shared" si="24"/>
        <v>2096.3999999999996</v>
      </c>
      <c r="L338" s="31" t="s">
        <v>247</v>
      </c>
      <c r="M338" s="72"/>
      <c r="N338" s="73"/>
      <c r="O338" s="74"/>
      <c r="P338" s="75">
        <f t="shared" si="22"/>
      </c>
      <c r="Q338" s="76"/>
      <c r="S338" s="110"/>
      <c r="T338" s="12"/>
      <c r="U338" s="12"/>
      <c r="V338" s="12"/>
      <c r="W338" s="19"/>
      <c r="X338" s="111"/>
    </row>
    <row r="339" spans="1:24" ht="12.75">
      <c r="A339" s="60"/>
      <c r="B339" s="61"/>
      <c r="C339" s="62"/>
      <c r="D339" s="65"/>
      <c r="E339" s="44"/>
      <c r="F339" s="33"/>
      <c r="G339" s="42"/>
      <c r="H339" s="43"/>
      <c r="I339" s="43"/>
      <c r="J339" s="36"/>
      <c r="K339" s="37">
        <f t="shared" si="24"/>
      </c>
      <c r="L339" s="31"/>
      <c r="M339" s="72"/>
      <c r="N339" s="73"/>
      <c r="O339" s="74"/>
      <c r="P339" s="75">
        <f t="shared" si="22"/>
      </c>
      <c r="Q339" s="76"/>
      <c r="S339" s="110"/>
      <c r="T339" s="12"/>
      <c r="U339" s="12"/>
      <c r="V339" s="12"/>
      <c r="W339" s="19"/>
      <c r="X339" s="111"/>
    </row>
    <row r="340" spans="1:24" ht="25.5">
      <c r="A340" s="60"/>
      <c r="B340" s="61"/>
      <c r="C340" s="62"/>
      <c r="D340" s="65"/>
      <c r="E340" s="44" t="s">
        <v>249</v>
      </c>
      <c r="F340" s="33">
        <v>40</v>
      </c>
      <c r="G340" s="42" t="s">
        <v>8</v>
      </c>
      <c r="H340" s="43">
        <v>12</v>
      </c>
      <c r="I340" s="43"/>
      <c r="J340" s="36">
        <f>IF(+I340+H340&gt;0,I340+(H340*labour),"")</f>
        <v>360</v>
      </c>
      <c r="K340" s="37">
        <f t="shared" si="24"/>
        <v>14400</v>
      </c>
      <c r="L340" s="31" t="s">
        <v>250</v>
      </c>
      <c r="M340" s="72"/>
      <c r="N340" s="73"/>
      <c r="O340" s="74"/>
      <c r="P340" s="75">
        <f t="shared" si="22"/>
      </c>
      <c r="Q340" s="76"/>
      <c r="S340" s="110"/>
      <c r="T340" s="12"/>
      <c r="U340" s="12"/>
      <c r="V340" s="12"/>
      <c r="W340" s="19"/>
      <c r="X340" s="111"/>
    </row>
    <row r="341" spans="1:24" ht="12.75">
      <c r="A341" s="60"/>
      <c r="B341" s="61"/>
      <c r="C341" s="62"/>
      <c r="D341" s="65"/>
      <c r="E341" s="44"/>
      <c r="F341" s="33"/>
      <c r="G341" s="42"/>
      <c r="H341" s="43"/>
      <c r="I341" s="43"/>
      <c r="J341" s="36"/>
      <c r="K341" s="37"/>
      <c r="L341" s="31"/>
      <c r="M341" s="33"/>
      <c r="N341" s="42"/>
      <c r="O341" s="36"/>
      <c r="P341" s="37"/>
      <c r="Q341" s="54"/>
      <c r="S341" s="110"/>
      <c r="T341" s="12"/>
      <c r="U341" s="12"/>
      <c r="V341" s="12"/>
      <c r="W341" s="19"/>
      <c r="X341" s="111"/>
    </row>
    <row r="342" spans="1:24" ht="12.75">
      <c r="A342" s="60"/>
      <c r="B342" s="61"/>
      <c r="C342" s="62"/>
      <c r="D342" s="65"/>
      <c r="E342" s="77"/>
      <c r="F342" s="33"/>
      <c r="G342" s="42"/>
      <c r="H342" s="43"/>
      <c r="I342" s="43"/>
      <c r="J342" s="36"/>
      <c r="K342" s="37">
        <f t="shared" si="11"/>
      </c>
      <c r="L342" s="31"/>
      <c r="M342" s="33"/>
      <c r="N342" s="42"/>
      <c r="O342" s="36"/>
      <c r="P342" s="37"/>
      <c r="Q342" s="54"/>
      <c r="S342" s="110"/>
      <c r="T342" s="12"/>
      <c r="U342" s="12"/>
      <c r="V342" s="12"/>
      <c r="W342" s="19"/>
      <c r="X342" s="111"/>
    </row>
    <row r="343" spans="1:24" ht="15.75">
      <c r="A343" s="60"/>
      <c r="B343" s="61"/>
      <c r="C343" s="64"/>
      <c r="D343" s="63"/>
      <c r="E343" s="78" t="s">
        <v>144</v>
      </c>
      <c r="F343" s="79"/>
      <c r="G343" s="80"/>
      <c r="H343" s="81"/>
      <c r="I343" s="81"/>
      <c r="J343" s="82">
        <f>IF(+I343+H343&gt;0,I343+(H343*labour),"")</f>
      </c>
      <c r="K343" s="83">
        <f t="shared" si="11"/>
      </c>
      <c r="L343" s="84"/>
      <c r="M343" s="79"/>
      <c r="N343" s="80"/>
      <c r="O343" s="82"/>
      <c r="P343" s="83">
        <f>+IF(M343="item",O343,IF(M343&lt;&gt;0,M343*O343,""))</f>
      </c>
      <c r="Q343" s="85"/>
      <c r="R343" s="89"/>
      <c r="S343" s="117"/>
      <c r="T343" s="118"/>
      <c r="U343" s="118"/>
      <c r="V343" s="118"/>
      <c r="W343" s="119"/>
      <c r="X343" s="120"/>
    </row>
    <row r="344" spans="1:24" ht="12.75">
      <c r="A344" s="60"/>
      <c r="B344" s="61"/>
      <c r="C344" s="62"/>
      <c r="D344" s="65"/>
      <c r="E344" s="77"/>
      <c r="F344" s="33"/>
      <c r="G344" s="42"/>
      <c r="H344" s="43"/>
      <c r="I344" s="43"/>
      <c r="J344" s="36"/>
      <c r="K344" s="37">
        <f t="shared" si="11"/>
      </c>
      <c r="L344" s="31"/>
      <c r="M344" s="33"/>
      <c r="N344" s="42"/>
      <c r="O344" s="36"/>
      <c r="P344" s="37"/>
      <c r="Q344" s="54"/>
      <c r="S344" s="110"/>
      <c r="T344" s="12"/>
      <c r="U344" s="12"/>
      <c r="V344" s="12"/>
      <c r="W344" s="19"/>
      <c r="X344" s="111"/>
    </row>
    <row r="345" spans="1:24" ht="12.75">
      <c r="A345" s="60"/>
      <c r="B345" s="61"/>
      <c r="C345" s="62"/>
      <c r="D345" s="65"/>
      <c r="E345" s="77" t="s">
        <v>145</v>
      </c>
      <c r="F345" s="33"/>
      <c r="G345" s="42"/>
      <c r="H345" s="43"/>
      <c r="I345" s="43"/>
      <c r="J345" s="36"/>
      <c r="K345" s="37">
        <f t="shared" si="11"/>
      </c>
      <c r="L345" s="31" t="s">
        <v>266</v>
      </c>
      <c r="M345" s="72"/>
      <c r="N345" s="73"/>
      <c r="O345" s="74"/>
      <c r="P345" s="75"/>
      <c r="Q345" s="76"/>
      <c r="S345" s="110"/>
      <c r="T345" s="12"/>
      <c r="U345" s="12"/>
      <c r="V345" s="12"/>
      <c r="W345" s="19"/>
      <c r="X345" s="111"/>
    </row>
    <row r="346" spans="1:24" ht="12.75">
      <c r="A346" s="60"/>
      <c r="B346" s="61"/>
      <c r="C346" s="62"/>
      <c r="D346" s="65"/>
      <c r="E346" s="77"/>
      <c r="F346" s="33"/>
      <c r="G346" s="42"/>
      <c r="H346" s="43"/>
      <c r="I346" s="43"/>
      <c r="J346" s="36"/>
      <c r="K346" s="37">
        <f t="shared" si="11"/>
      </c>
      <c r="L346" s="31"/>
      <c r="M346" s="72"/>
      <c r="N346" s="73"/>
      <c r="O346" s="74"/>
      <c r="P346" s="75"/>
      <c r="Q346" s="76"/>
      <c r="S346" s="110"/>
      <c r="T346" s="12"/>
      <c r="U346" s="12"/>
      <c r="V346" s="12"/>
      <c r="W346" s="19"/>
      <c r="X346" s="111"/>
    </row>
    <row r="347" spans="1:24" ht="12.75">
      <c r="A347" s="60"/>
      <c r="B347" s="61"/>
      <c r="C347" s="62"/>
      <c r="D347" s="65"/>
      <c r="E347" s="103" t="s">
        <v>304</v>
      </c>
      <c r="F347" s="33"/>
      <c r="G347" s="42"/>
      <c r="H347" s="43"/>
      <c r="I347" s="43"/>
      <c r="J347" s="36"/>
      <c r="K347" s="37">
        <f t="shared" si="11"/>
      </c>
      <c r="L347" s="31"/>
      <c r="M347" s="72"/>
      <c r="N347" s="73"/>
      <c r="O347" s="74"/>
      <c r="P347" s="75"/>
      <c r="Q347" s="76"/>
      <c r="S347" s="110"/>
      <c r="T347" s="12"/>
      <c r="U347" s="12"/>
      <c r="V347" s="12"/>
      <c r="W347" s="19"/>
      <c r="X347" s="111"/>
    </row>
    <row r="348" spans="1:24" ht="12.75">
      <c r="A348" s="60"/>
      <c r="B348" s="61"/>
      <c r="C348" s="62"/>
      <c r="D348" s="65"/>
      <c r="E348" s="77"/>
      <c r="F348" s="33"/>
      <c r="G348" s="42"/>
      <c r="H348" s="43"/>
      <c r="I348" s="43"/>
      <c r="J348" s="36"/>
      <c r="K348" s="37">
        <f t="shared" si="11"/>
      </c>
      <c r="L348" s="31"/>
      <c r="M348" s="72"/>
      <c r="N348" s="73"/>
      <c r="O348" s="74"/>
      <c r="P348" s="75"/>
      <c r="Q348" s="76"/>
      <c r="S348" s="110"/>
      <c r="T348" s="12"/>
      <c r="U348" s="12"/>
      <c r="V348" s="12"/>
      <c r="W348" s="19"/>
      <c r="X348" s="111"/>
    </row>
    <row r="349" spans="1:24" ht="12.75">
      <c r="A349" s="60"/>
      <c r="B349" s="61"/>
      <c r="C349" s="62"/>
      <c r="D349" s="65"/>
      <c r="E349" s="44" t="s">
        <v>305</v>
      </c>
      <c r="F349" s="33" t="s">
        <v>1</v>
      </c>
      <c r="G349" s="42"/>
      <c r="H349" s="43"/>
      <c r="I349" s="43"/>
      <c r="J349" s="36">
        <f>+passivent17C</f>
        <v>465.842</v>
      </c>
      <c r="K349" s="37">
        <f t="shared" si="11"/>
        <v>465.842</v>
      </c>
      <c r="L349" s="31"/>
      <c r="M349" s="72"/>
      <c r="N349" s="73"/>
      <c r="O349" s="74"/>
      <c r="P349" s="75"/>
      <c r="Q349" s="76"/>
      <c r="S349" s="110"/>
      <c r="T349" s="12"/>
      <c r="U349" s="12"/>
      <c r="V349" s="12"/>
      <c r="W349" s="19"/>
      <c r="X349" s="111"/>
    </row>
    <row r="350" spans="1:24" ht="12.75">
      <c r="A350" s="60"/>
      <c r="B350" s="61"/>
      <c r="C350" s="62"/>
      <c r="D350" s="65"/>
      <c r="E350" s="77"/>
      <c r="F350" s="33"/>
      <c r="G350" s="42"/>
      <c r="H350" s="43"/>
      <c r="I350" s="43"/>
      <c r="J350" s="36"/>
      <c r="K350" s="37">
        <f t="shared" si="11"/>
      </c>
      <c r="L350" s="31"/>
      <c r="M350" s="72"/>
      <c r="N350" s="73"/>
      <c r="O350" s="74"/>
      <c r="P350" s="75"/>
      <c r="Q350" s="76"/>
      <c r="S350" s="110"/>
      <c r="T350" s="12"/>
      <c r="U350" s="12"/>
      <c r="V350" s="12"/>
      <c r="W350" s="19"/>
      <c r="X350" s="111"/>
    </row>
    <row r="351" spans="1:24" ht="12.75">
      <c r="A351" s="60"/>
      <c r="B351" s="61"/>
      <c r="C351" s="62"/>
      <c r="D351" s="65"/>
      <c r="E351" s="44" t="s">
        <v>151</v>
      </c>
      <c r="F351" s="33" t="s">
        <v>1</v>
      </c>
      <c r="G351" s="42"/>
      <c r="H351" s="43"/>
      <c r="I351" s="43"/>
      <c r="J351" s="36">
        <f>passiventfit17C</f>
        <v>300</v>
      </c>
      <c r="K351" s="37">
        <f t="shared" si="11"/>
        <v>300</v>
      </c>
      <c r="L351" s="31"/>
      <c r="M351" s="72"/>
      <c r="N351" s="73"/>
      <c r="O351" s="74"/>
      <c r="P351" s="75"/>
      <c r="Q351" s="76"/>
      <c r="S351" s="110"/>
      <c r="T351" s="12"/>
      <c r="U351" s="12"/>
      <c r="V351" s="12"/>
      <c r="W351" s="19"/>
      <c r="X351" s="111"/>
    </row>
    <row r="352" spans="1:24" ht="12.75">
      <c r="A352" s="60"/>
      <c r="B352" s="61"/>
      <c r="C352" s="62"/>
      <c r="D352" s="65"/>
      <c r="E352" s="77"/>
      <c r="F352" s="33"/>
      <c r="G352" s="42"/>
      <c r="H352" s="43"/>
      <c r="I352" s="43"/>
      <c r="J352" s="36"/>
      <c r="K352" s="37">
        <f t="shared" si="11"/>
      </c>
      <c r="L352" s="31"/>
      <c r="M352" s="72"/>
      <c r="N352" s="73"/>
      <c r="O352" s="74"/>
      <c r="P352" s="75"/>
      <c r="Q352" s="76"/>
      <c r="S352" s="110"/>
      <c r="T352" s="12"/>
      <c r="U352" s="12"/>
      <c r="V352" s="12"/>
      <c r="W352" s="19"/>
      <c r="X352" s="111"/>
    </row>
    <row r="353" spans="1:24" ht="12.75">
      <c r="A353" s="60"/>
      <c r="B353" s="61"/>
      <c r="C353" s="62"/>
      <c r="D353" s="65"/>
      <c r="E353" s="77"/>
      <c r="F353" s="33"/>
      <c r="G353" s="42"/>
      <c r="H353" s="43"/>
      <c r="I353" s="43"/>
      <c r="J353" s="36"/>
      <c r="K353" s="37">
        <f t="shared" si="11"/>
      </c>
      <c r="L353" s="31"/>
      <c r="M353" s="72"/>
      <c r="N353" s="73"/>
      <c r="O353" s="74"/>
      <c r="P353" s="75"/>
      <c r="Q353" s="76"/>
      <c r="S353" s="110"/>
      <c r="T353" s="12"/>
      <c r="U353" s="12"/>
      <c r="V353" s="12"/>
      <c r="W353" s="19"/>
      <c r="X353" s="111"/>
    </row>
    <row r="354" spans="1:24" ht="12.75">
      <c r="A354" s="60"/>
      <c r="B354" s="61"/>
      <c r="C354" s="62"/>
      <c r="D354" s="65"/>
      <c r="E354" s="103" t="s">
        <v>308</v>
      </c>
      <c r="F354" s="33"/>
      <c r="G354" s="42"/>
      <c r="H354" s="43"/>
      <c r="I354" s="43"/>
      <c r="J354" s="36"/>
      <c r="K354" s="37">
        <f t="shared" si="11"/>
      </c>
      <c r="L354" s="31" t="s">
        <v>309</v>
      </c>
      <c r="M354" s="72"/>
      <c r="N354" s="73"/>
      <c r="O354" s="74"/>
      <c r="P354" s="75"/>
      <c r="Q354" s="76"/>
      <c r="S354" s="110"/>
      <c r="T354" s="12"/>
      <c r="U354" s="12"/>
      <c r="V354" s="12"/>
      <c r="W354" s="19"/>
      <c r="X354" s="111"/>
    </row>
    <row r="355" spans="1:24" ht="12.75">
      <c r="A355" s="60"/>
      <c r="B355" s="61"/>
      <c r="C355" s="62"/>
      <c r="D355" s="65"/>
      <c r="E355" s="77"/>
      <c r="F355" s="33"/>
      <c r="G355" s="42"/>
      <c r="H355" s="43"/>
      <c r="I355" s="43"/>
      <c r="J355" s="36"/>
      <c r="K355" s="37">
        <f t="shared" si="11"/>
      </c>
      <c r="L355" s="31"/>
      <c r="M355" s="72"/>
      <c r="N355" s="73"/>
      <c r="O355" s="74"/>
      <c r="P355" s="75"/>
      <c r="Q355" s="76"/>
      <c r="S355" s="110"/>
      <c r="T355" s="12"/>
      <c r="U355" s="12"/>
      <c r="V355" s="12"/>
      <c r="W355" s="19"/>
      <c r="X355" s="111"/>
    </row>
    <row r="356" spans="1:24" ht="12.75">
      <c r="A356" s="60"/>
      <c r="B356" s="61"/>
      <c r="C356" s="62"/>
      <c r="D356" s="65"/>
      <c r="E356" s="44" t="s">
        <v>305</v>
      </c>
      <c r="F356" s="33" t="s">
        <v>1</v>
      </c>
      <c r="G356" s="42"/>
      <c r="H356" s="43"/>
      <c r="I356" s="43"/>
      <c r="J356" s="36">
        <f>+ihybrid18C</f>
        <v>2450.5</v>
      </c>
      <c r="K356" s="37">
        <f>+IF(F356="item",J356,IF(F356&lt;&gt;0,F356*J356,""))</f>
        <v>2450.5</v>
      </c>
      <c r="L356" s="31"/>
      <c r="M356" s="72"/>
      <c r="N356" s="73"/>
      <c r="O356" s="74"/>
      <c r="P356" s="75"/>
      <c r="Q356" s="76"/>
      <c r="S356" s="110"/>
      <c r="T356" s="12"/>
      <c r="U356" s="12"/>
      <c r="V356" s="12"/>
      <c r="W356" s="19"/>
      <c r="X356" s="111"/>
    </row>
    <row r="357" spans="1:24" ht="12.75">
      <c r="A357" s="60"/>
      <c r="B357" s="61"/>
      <c r="C357" s="62"/>
      <c r="D357" s="65"/>
      <c r="E357" s="77"/>
      <c r="F357" s="33"/>
      <c r="G357" s="42"/>
      <c r="H357" s="43"/>
      <c r="I357" s="43"/>
      <c r="J357" s="36"/>
      <c r="K357" s="37">
        <f>+IF(F357="item",J357,IF(F357&lt;&gt;0,F357*J357,""))</f>
      </c>
      <c r="L357" s="31"/>
      <c r="M357" s="72"/>
      <c r="N357" s="73"/>
      <c r="O357" s="74"/>
      <c r="P357" s="75"/>
      <c r="Q357" s="76"/>
      <c r="S357" s="110"/>
      <c r="T357" s="12"/>
      <c r="U357" s="12"/>
      <c r="V357" s="12"/>
      <c r="W357" s="19"/>
      <c r="X357" s="111"/>
    </row>
    <row r="358" spans="1:24" ht="12.75">
      <c r="A358" s="60"/>
      <c r="B358" s="61"/>
      <c r="C358" s="62"/>
      <c r="D358" s="65"/>
      <c r="E358" s="44" t="s">
        <v>151</v>
      </c>
      <c r="F358" s="33" t="s">
        <v>1</v>
      </c>
      <c r="G358" s="42"/>
      <c r="H358" s="43"/>
      <c r="I358" s="43"/>
      <c r="J358" s="36">
        <f>ihybridfit18C</f>
        <v>3000</v>
      </c>
      <c r="K358" s="37">
        <f>+IF(F358="item",J358,IF(F358&lt;&gt;0,F358*J358,""))</f>
        <v>3000</v>
      </c>
      <c r="L358" s="31"/>
      <c r="M358" s="72"/>
      <c r="N358" s="73"/>
      <c r="O358" s="74"/>
      <c r="P358" s="75"/>
      <c r="Q358" s="76"/>
      <c r="S358" s="110"/>
      <c r="T358" s="12"/>
      <c r="U358" s="12"/>
      <c r="V358" s="12"/>
      <c r="W358" s="19"/>
      <c r="X358" s="111"/>
    </row>
    <row r="359" spans="1:24" ht="12.75">
      <c r="A359" s="60"/>
      <c r="B359" s="61"/>
      <c r="C359" s="62"/>
      <c r="D359" s="65"/>
      <c r="E359" s="77"/>
      <c r="F359" s="33"/>
      <c r="G359" s="42"/>
      <c r="H359" s="43"/>
      <c r="I359" s="43"/>
      <c r="J359" s="36"/>
      <c r="K359" s="37">
        <f t="shared" si="11"/>
      </c>
      <c r="L359" s="31"/>
      <c r="M359" s="72"/>
      <c r="N359" s="73"/>
      <c r="O359" s="74"/>
      <c r="P359" s="75"/>
      <c r="Q359" s="76"/>
      <c r="S359" s="110"/>
      <c r="T359" s="12"/>
      <c r="U359" s="12"/>
      <c r="V359" s="12"/>
      <c r="W359" s="19"/>
      <c r="X359" s="111"/>
    </row>
    <row r="360" spans="1:24" ht="12.75">
      <c r="A360" s="60"/>
      <c r="B360" s="61"/>
      <c r="C360" s="62"/>
      <c r="D360" s="65"/>
      <c r="E360" s="77"/>
      <c r="F360" s="33"/>
      <c r="G360" s="42"/>
      <c r="H360" s="43"/>
      <c r="I360" s="43"/>
      <c r="J360" s="36"/>
      <c r="K360" s="37">
        <f t="shared" si="11"/>
      </c>
      <c r="L360" s="31"/>
      <c r="M360" s="72"/>
      <c r="N360" s="73"/>
      <c r="O360" s="74"/>
      <c r="P360" s="75"/>
      <c r="Q360" s="76"/>
      <c r="S360" s="110"/>
      <c r="T360" s="12"/>
      <c r="U360" s="12"/>
      <c r="V360" s="12"/>
      <c r="W360" s="19"/>
      <c r="X360" s="111"/>
    </row>
    <row r="361" spans="1:24" ht="12.75">
      <c r="A361" s="60"/>
      <c r="B361" s="61"/>
      <c r="C361" s="62"/>
      <c r="D361" s="65"/>
      <c r="E361" s="103" t="s">
        <v>314</v>
      </c>
      <c r="F361" s="33"/>
      <c r="G361" s="42"/>
      <c r="H361" s="43"/>
      <c r="I361" s="43"/>
      <c r="J361" s="36"/>
      <c r="K361" s="37">
        <f>+IF(F361="item",J361,IF(F361&lt;&gt;0,F361*J361,""))</f>
      </c>
      <c r="L361" s="31"/>
      <c r="M361" s="72"/>
      <c r="N361" s="73"/>
      <c r="O361" s="74"/>
      <c r="P361" s="75"/>
      <c r="Q361" s="76"/>
      <c r="S361" s="110"/>
      <c r="T361" s="12"/>
      <c r="U361" s="12"/>
      <c r="V361" s="12"/>
      <c r="W361" s="19"/>
      <c r="X361" s="111"/>
    </row>
    <row r="362" spans="1:24" ht="12.75">
      <c r="A362" s="60"/>
      <c r="B362" s="61"/>
      <c r="C362" s="62"/>
      <c r="D362" s="65"/>
      <c r="E362" s="77"/>
      <c r="F362" s="33"/>
      <c r="G362" s="42"/>
      <c r="H362" s="43"/>
      <c r="I362" s="43"/>
      <c r="J362" s="36"/>
      <c r="K362" s="37">
        <f>+IF(F362="item",J362,IF(F362&lt;&gt;0,F362*J362,""))</f>
      </c>
      <c r="L362" s="31"/>
      <c r="M362" s="72"/>
      <c r="N362" s="73"/>
      <c r="O362" s="74"/>
      <c r="P362" s="75"/>
      <c r="Q362" s="76"/>
      <c r="S362" s="110"/>
      <c r="T362" s="12"/>
      <c r="U362" s="12"/>
      <c r="V362" s="12"/>
      <c r="W362" s="19"/>
      <c r="X362" s="111"/>
    </row>
    <row r="363" spans="1:24" ht="12.75">
      <c r="A363" s="60"/>
      <c r="B363" s="61"/>
      <c r="C363" s="62"/>
      <c r="D363" s="65"/>
      <c r="E363" s="44" t="s">
        <v>305</v>
      </c>
      <c r="F363" s="33" t="s">
        <v>1</v>
      </c>
      <c r="G363" s="42"/>
      <c r="H363" s="43"/>
      <c r="I363" s="43"/>
      <c r="J363" s="36">
        <f>passiventvic</f>
        <v>894.725</v>
      </c>
      <c r="K363" s="37">
        <f>+IF(F363="item",J363,IF(F363&lt;&gt;0,F363*J363,""))</f>
        <v>894.725</v>
      </c>
      <c r="L363" s="31"/>
      <c r="M363" s="72"/>
      <c r="N363" s="73"/>
      <c r="O363" s="74"/>
      <c r="P363" s="75"/>
      <c r="Q363" s="76"/>
      <c r="S363" s="110"/>
      <c r="T363" s="12"/>
      <c r="U363" s="12"/>
      <c r="V363" s="12"/>
      <c r="W363" s="19"/>
      <c r="X363" s="111"/>
    </row>
    <row r="364" spans="1:24" ht="12.75">
      <c r="A364" s="60"/>
      <c r="B364" s="61"/>
      <c r="C364" s="62"/>
      <c r="D364" s="65"/>
      <c r="E364" s="77"/>
      <c r="F364" s="33"/>
      <c r="G364" s="42"/>
      <c r="H364" s="43"/>
      <c r="I364" s="43"/>
      <c r="J364" s="36"/>
      <c r="K364" s="37">
        <f>+IF(F364="item",J364,IF(F364&lt;&gt;0,F364*J364,""))</f>
      </c>
      <c r="L364" s="31"/>
      <c r="M364" s="72"/>
      <c r="N364" s="73"/>
      <c r="O364" s="74"/>
      <c r="P364" s="75"/>
      <c r="Q364" s="76"/>
      <c r="S364" s="110"/>
      <c r="T364" s="12"/>
      <c r="U364" s="12"/>
      <c r="V364" s="12"/>
      <c r="W364" s="19"/>
      <c r="X364" s="111"/>
    </row>
    <row r="365" spans="1:24" ht="12.75">
      <c r="A365" s="60"/>
      <c r="B365" s="61"/>
      <c r="C365" s="62"/>
      <c r="D365" s="65"/>
      <c r="E365" s="44" t="s">
        <v>151</v>
      </c>
      <c r="F365" s="33" t="s">
        <v>1</v>
      </c>
      <c r="G365" s="42"/>
      <c r="H365" s="43"/>
      <c r="I365" s="43"/>
      <c r="J365" s="36">
        <f>passiventfitvic</f>
        <v>420</v>
      </c>
      <c r="K365" s="37">
        <f>+IF(F365="item",J365,IF(F365&lt;&gt;0,F365*J365,""))</f>
        <v>420</v>
      </c>
      <c r="L365" s="31"/>
      <c r="M365" s="72"/>
      <c r="N365" s="73"/>
      <c r="O365" s="74"/>
      <c r="P365" s="75"/>
      <c r="Q365" s="76"/>
      <c r="S365" s="110"/>
      <c r="T365" s="12"/>
      <c r="U365" s="12"/>
      <c r="V365" s="12"/>
      <c r="W365" s="19"/>
      <c r="X365" s="111"/>
    </row>
    <row r="366" spans="1:24" ht="12.75">
      <c r="A366" s="60"/>
      <c r="B366" s="61"/>
      <c r="C366" s="62"/>
      <c r="D366" s="65"/>
      <c r="E366" s="77"/>
      <c r="F366" s="33"/>
      <c r="G366" s="42"/>
      <c r="H366" s="43"/>
      <c r="I366" s="43"/>
      <c r="J366" s="36"/>
      <c r="K366" s="37"/>
      <c r="L366" s="31"/>
      <c r="M366" s="72"/>
      <c r="N366" s="73"/>
      <c r="O366" s="74"/>
      <c r="P366" s="75"/>
      <c r="Q366" s="76"/>
      <c r="S366" s="110"/>
      <c r="T366" s="12"/>
      <c r="U366" s="12"/>
      <c r="V366" s="12"/>
      <c r="W366" s="19"/>
      <c r="X366" s="111"/>
    </row>
    <row r="367" spans="1:24" ht="12.75">
      <c r="A367" s="60"/>
      <c r="B367" s="61"/>
      <c r="C367" s="62"/>
      <c r="D367" s="65"/>
      <c r="E367" s="77"/>
      <c r="F367" s="33"/>
      <c r="G367" s="42"/>
      <c r="H367" s="43"/>
      <c r="I367" s="43"/>
      <c r="J367" s="36"/>
      <c r="K367" s="37"/>
      <c r="L367" s="31"/>
      <c r="M367" s="72"/>
      <c r="N367" s="73"/>
      <c r="O367" s="74"/>
      <c r="P367" s="75"/>
      <c r="Q367" s="76"/>
      <c r="S367" s="110"/>
      <c r="T367" s="12"/>
      <c r="U367" s="12"/>
      <c r="V367" s="12"/>
      <c r="W367" s="19"/>
      <c r="X367" s="111"/>
    </row>
    <row r="368" spans="1:24" ht="12.75">
      <c r="A368" s="60"/>
      <c r="B368" s="61"/>
      <c r="C368" s="62"/>
      <c r="D368" s="65"/>
      <c r="E368" s="103" t="s">
        <v>316</v>
      </c>
      <c r="F368" s="33"/>
      <c r="G368" s="42"/>
      <c r="H368" s="43"/>
      <c r="I368" s="43"/>
      <c r="J368" s="36"/>
      <c r="K368" s="37">
        <f>+IF(F368="item",J368,IF(F368&lt;&gt;0,F368*J368,""))</f>
      </c>
      <c r="L368" s="31"/>
      <c r="M368" s="72"/>
      <c r="N368" s="73"/>
      <c r="O368" s="74"/>
      <c r="P368" s="75"/>
      <c r="Q368" s="76"/>
      <c r="S368" s="110"/>
      <c r="T368" s="12"/>
      <c r="U368" s="12"/>
      <c r="V368" s="12"/>
      <c r="W368" s="19"/>
      <c r="X368" s="111"/>
    </row>
    <row r="369" spans="1:24" ht="12.75">
      <c r="A369" s="60"/>
      <c r="B369" s="61"/>
      <c r="C369" s="62"/>
      <c r="D369" s="65"/>
      <c r="E369" s="77"/>
      <c r="F369" s="33"/>
      <c r="G369" s="42"/>
      <c r="H369" s="43"/>
      <c r="I369" s="43"/>
      <c r="J369" s="36"/>
      <c r="K369" s="37">
        <f>+IF(F369="item",J369,IF(F369&lt;&gt;0,F369*J369,""))</f>
      </c>
      <c r="L369" s="31"/>
      <c r="M369" s="72"/>
      <c r="N369" s="73"/>
      <c r="O369" s="74"/>
      <c r="P369" s="75"/>
      <c r="Q369" s="76"/>
      <c r="S369" s="110"/>
      <c r="T369" s="12"/>
      <c r="U369" s="12"/>
      <c r="V369" s="12"/>
      <c r="W369" s="19"/>
      <c r="X369" s="111"/>
    </row>
    <row r="370" spans="1:24" ht="12.75">
      <c r="A370" s="60"/>
      <c r="B370" s="61"/>
      <c r="C370" s="62"/>
      <c r="D370" s="65"/>
      <c r="E370" s="44" t="s">
        <v>305</v>
      </c>
      <c r="F370" s="33" t="s">
        <v>1</v>
      </c>
      <c r="G370" s="42"/>
      <c r="H370" s="43"/>
      <c r="I370" s="43"/>
      <c r="J370" s="36">
        <f>ihybridearly</f>
        <v>2255.5</v>
      </c>
      <c r="K370" s="37">
        <f>+IF(F370="item",J370,IF(F370&lt;&gt;0,F370*J370,""))</f>
        <v>2255.5</v>
      </c>
      <c r="L370" s="31"/>
      <c r="M370" s="72"/>
      <c r="N370" s="73"/>
      <c r="O370" s="74"/>
      <c r="P370" s="75"/>
      <c r="Q370" s="76"/>
      <c r="S370" s="110"/>
      <c r="T370" s="12"/>
      <c r="U370" s="12"/>
      <c r="V370" s="12"/>
      <c r="W370" s="19"/>
      <c r="X370" s="111"/>
    </row>
    <row r="371" spans="1:24" ht="12.75">
      <c r="A371" s="60"/>
      <c r="B371" s="61"/>
      <c r="C371" s="62"/>
      <c r="D371" s="65"/>
      <c r="E371" s="77"/>
      <c r="F371" s="33"/>
      <c r="G371" s="42"/>
      <c r="H371" s="43"/>
      <c r="I371" s="43"/>
      <c r="J371" s="36"/>
      <c r="K371" s="37">
        <f>+IF(F371="item",J371,IF(F371&lt;&gt;0,F371*J371,""))</f>
      </c>
      <c r="L371" s="31"/>
      <c r="M371" s="72"/>
      <c r="N371" s="73"/>
      <c r="O371" s="74"/>
      <c r="P371" s="75"/>
      <c r="Q371" s="76"/>
      <c r="S371" s="110"/>
      <c r="T371" s="12"/>
      <c r="U371" s="12"/>
      <c r="V371" s="12"/>
      <c r="W371" s="19"/>
      <c r="X371" s="111"/>
    </row>
    <row r="372" spans="1:24" ht="12.75">
      <c r="A372" s="60"/>
      <c r="B372" s="61"/>
      <c r="C372" s="62"/>
      <c r="D372" s="65"/>
      <c r="E372" s="44" t="s">
        <v>151</v>
      </c>
      <c r="F372" s="33" t="s">
        <v>1</v>
      </c>
      <c r="G372" s="42"/>
      <c r="H372" s="43"/>
      <c r="I372" s="43"/>
      <c r="J372" s="36">
        <f>ihybridfitearly</f>
        <v>2640</v>
      </c>
      <c r="K372" s="37">
        <f>+IF(F372="item",J372,IF(F372&lt;&gt;0,F372*J372,""))</f>
        <v>2640</v>
      </c>
      <c r="L372" s="31"/>
      <c r="M372" s="72"/>
      <c r="N372" s="73"/>
      <c r="O372" s="74"/>
      <c r="P372" s="75"/>
      <c r="Q372" s="76"/>
      <c r="S372" s="110"/>
      <c r="T372" s="12"/>
      <c r="U372" s="12"/>
      <c r="V372" s="12"/>
      <c r="W372" s="19"/>
      <c r="X372" s="111"/>
    </row>
    <row r="373" spans="1:24" ht="12.75">
      <c r="A373" s="60"/>
      <c r="B373" s="61"/>
      <c r="C373" s="62"/>
      <c r="D373" s="65"/>
      <c r="E373" s="44"/>
      <c r="F373" s="33"/>
      <c r="G373" s="42"/>
      <c r="H373" s="43"/>
      <c r="I373" s="43"/>
      <c r="J373" s="36"/>
      <c r="K373" s="37"/>
      <c r="L373" s="31"/>
      <c r="M373" s="72"/>
      <c r="N373" s="73"/>
      <c r="O373" s="74"/>
      <c r="P373" s="75"/>
      <c r="Q373" s="76"/>
      <c r="S373" s="110"/>
      <c r="T373" s="12"/>
      <c r="U373" s="12"/>
      <c r="V373" s="12"/>
      <c r="W373" s="19"/>
      <c r="X373" s="111"/>
    </row>
    <row r="374" spans="1:24" ht="12.75">
      <c r="A374" s="60"/>
      <c r="B374" s="61"/>
      <c r="C374" s="62"/>
      <c r="D374" s="65"/>
      <c r="E374" s="44"/>
      <c r="F374" s="33"/>
      <c r="G374" s="42"/>
      <c r="H374" s="43"/>
      <c r="I374" s="43"/>
      <c r="J374" s="36"/>
      <c r="K374" s="37"/>
      <c r="L374" s="31"/>
      <c r="M374" s="72"/>
      <c r="N374" s="73"/>
      <c r="O374" s="74"/>
      <c r="P374" s="75"/>
      <c r="Q374" s="76"/>
      <c r="S374" s="110"/>
      <c r="T374" s="12"/>
      <c r="U374" s="12"/>
      <c r="V374" s="12"/>
      <c r="W374" s="19"/>
      <c r="X374" s="111"/>
    </row>
    <row r="375" spans="1:24" ht="12.75">
      <c r="A375" s="60"/>
      <c r="B375" s="61"/>
      <c r="C375" s="62"/>
      <c r="D375" s="65"/>
      <c r="E375" s="103" t="s">
        <v>319</v>
      </c>
      <c r="F375" s="33"/>
      <c r="G375" s="42"/>
      <c r="H375" s="43"/>
      <c r="I375" s="43"/>
      <c r="J375" s="36"/>
      <c r="K375" s="37">
        <f>+IF(F375="item",J375,IF(F375&lt;&gt;0,F375*J375,""))</f>
      </c>
      <c r="L375" s="31"/>
      <c r="M375" s="72"/>
      <c r="N375" s="73"/>
      <c r="O375" s="74"/>
      <c r="P375" s="75"/>
      <c r="Q375" s="76"/>
      <c r="S375" s="110"/>
      <c r="T375" s="12"/>
      <c r="U375" s="12"/>
      <c r="V375" s="12"/>
      <c r="W375" s="19"/>
      <c r="X375" s="111"/>
    </row>
    <row r="376" spans="1:24" ht="12.75">
      <c r="A376" s="60"/>
      <c r="B376" s="61"/>
      <c r="C376" s="62"/>
      <c r="D376" s="65"/>
      <c r="E376" s="77"/>
      <c r="F376" s="33"/>
      <c r="G376" s="42"/>
      <c r="H376" s="43"/>
      <c r="I376" s="43"/>
      <c r="J376" s="36"/>
      <c r="K376" s="37">
        <f>+IF(F376="item",J376,IF(F376&lt;&gt;0,F376*J376,""))</f>
      </c>
      <c r="L376" s="31"/>
      <c r="M376" s="72"/>
      <c r="N376" s="73"/>
      <c r="O376" s="74"/>
      <c r="P376" s="75"/>
      <c r="Q376" s="76"/>
      <c r="S376" s="110"/>
      <c r="T376" s="12"/>
      <c r="U376" s="12"/>
      <c r="V376" s="12"/>
      <c r="W376" s="19"/>
      <c r="X376" s="111"/>
    </row>
    <row r="377" spans="1:24" ht="12.75">
      <c r="A377" s="60"/>
      <c r="B377" s="61"/>
      <c r="C377" s="62"/>
      <c r="D377" s="65"/>
      <c r="E377" s="44" t="s">
        <v>305</v>
      </c>
      <c r="F377" s="33" t="s">
        <v>1</v>
      </c>
      <c r="G377" s="42"/>
      <c r="H377" s="43"/>
      <c r="I377" s="43"/>
      <c r="J377" s="36">
        <f>ihybridlate</f>
        <v>2073.5</v>
      </c>
      <c r="K377" s="37">
        <f>+IF(F377="item",J377,IF(F377&lt;&gt;0,F377*J377,""))</f>
        <v>2073.5</v>
      </c>
      <c r="L377" s="31"/>
      <c r="M377" s="72"/>
      <c r="N377" s="73"/>
      <c r="O377" s="74"/>
      <c r="P377" s="75"/>
      <c r="Q377" s="76"/>
      <c r="S377" s="110"/>
      <c r="T377" s="12"/>
      <c r="U377" s="12"/>
      <c r="V377" s="12"/>
      <c r="W377" s="19"/>
      <c r="X377" s="111"/>
    </row>
    <row r="378" spans="1:24" ht="12.75">
      <c r="A378" s="60"/>
      <c r="B378" s="61"/>
      <c r="C378" s="62"/>
      <c r="D378" s="65"/>
      <c r="E378" s="77"/>
      <c r="F378" s="33"/>
      <c r="G378" s="42"/>
      <c r="H378" s="43"/>
      <c r="I378" s="43"/>
      <c r="J378" s="36"/>
      <c r="K378" s="37">
        <f>+IF(F378="item",J378,IF(F378&lt;&gt;0,F378*J378,""))</f>
      </c>
      <c r="L378" s="31"/>
      <c r="M378" s="72"/>
      <c r="N378" s="73"/>
      <c r="O378" s="74"/>
      <c r="P378" s="75"/>
      <c r="Q378" s="76"/>
      <c r="S378" s="110"/>
      <c r="T378" s="12"/>
      <c r="U378" s="12"/>
      <c r="V378" s="12"/>
      <c r="W378" s="19"/>
      <c r="X378" s="111"/>
    </row>
    <row r="379" spans="1:24" ht="12.75">
      <c r="A379" s="60"/>
      <c r="B379" s="61"/>
      <c r="C379" s="62"/>
      <c r="D379" s="65"/>
      <c r="E379" s="44" t="s">
        <v>151</v>
      </c>
      <c r="F379" s="33" t="s">
        <v>1</v>
      </c>
      <c r="G379" s="42"/>
      <c r="H379" s="43"/>
      <c r="I379" s="43"/>
      <c r="J379" s="36">
        <f>ihybridfitlate</f>
        <v>2400</v>
      </c>
      <c r="K379" s="37">
        <f>+IF(F379="item",J379,IF(F379&lt;&gt;0,F379*J379,""))</f>
        <v>2400</v>
      </c>
      <c r="L379" s="31"/>
      <c r="M379" s="72"/>
      <c r="N379" s="73"/>
      <c r="O379" s="74"/>
      <c r="P379" s="75"/>
      <c r="Q379" s="76"/>
      <c r="S379" s="110"/>
      <c r="T379" s="12"/>
      <c r="U379" s="12"/>
      <c r="V379" s="12"/>
      <c r="W379" s="19"/>
      <c r="X379" s="111"/>
    </row>
    <row r="380" spans="1:24" ht="12.75">
      <c r="A380" s="60"/>
      <c r="B380" s="61"/>
      <c r="C380" s="62"/>
      <c r="D380" s="65"/>
      <c r="E380" s="77"/>
      <c r="F380" s="33"/>
      <c r="G380" s="42"/>
      <c r="H380" s="43"/>
      <c r="I380" s="43"/>
      <c r="J380" s="36"/>
      <c r="K380" s="37">
        <f t="shared" si="11"/>
      </c>
      <c r="L380" s="31"/>
      <c r="M380" s="72"/>
      <c r="N380" s="73"/>
      <c r="O380" s="74"/>
      <c r="P380" s="75"/>
      <c r="Q380" s="76"/>
      <c r="S380" s="110"/>
      <c r="T380" s="12"/>
      <c r="U380" s="12"/>
      <c r="V380" s="12"/>
      <c r="W380" s="19"/>
      <c r="X380" s="111"/>
    </row>
    <row r="381" spans="1:24" ht="12.75">
      <c r="A381" s="60"/>
      <c r="B381" s="61"/>
      <c r="C381" s="62"/>
      <c r="D381" s="65"/>
      <c r="E381" s="77"/>
      <c r="F381" s="33"/>
      <c r="G381" s="42"/>
      <c r="H381" s="43"/>
      <c r="I381" s="43"/>
      <c r="J381" s="36"/>
      <c r="K381" s="37">
        <f t="shared" si="11"/>
      </c>
      <c r="L381" s="31"/>
      <c r="M381" s="72"/>
      <c r="N381" s="73"/>
      <c r="O381" s="74"/>
      <c r="P381" s="75"/>
      <c r="Q381" s="76"/>
      <c r="S381" s="110"/>
      <c r="T381" s="12"/>
      <c r="U381" s="12"/>
      <c r="V381" s="12"/>
      <c r="W381" s="19"/>
      <c r="X381" s="111"/>
    </row>
    <row r="382" spans="1:24" ht="12.75">
      <c r="A382" s="60"/>
      <c r="B382" s="61"/>
      <c r="C382" s="62"/>
      <c r="D382" s="65"/>
      <c r="E382" s="77"/>
      <c r="F382" s="33"/>
      <c r="G382" s="42"/>
      <c r="H382" s="43"/>
      <c r="I382" s="43"/>
      <c r="J382" s="36"/>
      <c r="K382" s="37">
        <f t="shared" si="11"/>
      </c>
      <c r="L382" s="31"/>
      <c r="M382" s="72"/>
      <c r="N382" s="73"/>
      <c r="O382" s="74"/>
      <c r="P382" s="75"/>
      <c r="Q382" s="76"/>
      <c r="S382" s="110"/>
      <c r="T382" s="12"/>
      <c r="U382" s="12"/>
      <c r="V382" s="12"/>
      <c r="W382" s="19"/>
      <c r="X382" s="111"/>
    </row>
    <row r="383" spans="1:24" ht="12.75">
      <c r="A383" s="60"/>
      <c r="B383" s="61"/>
      <c r="C383" s="62"/>
      <c r="D383" s="65"/>
      <c r="E383" s="77"/>
      <c r="F383" s="33"/>
      <c r="G383" s="42"/>
      <c r="H383" s="43"/>
      <c r="I383" s="43"/>
      <c r="J383" s="36"/>
      <c r="K383" s="37">
        <f t="shared" si="11"/>
      </c>
      <c r="L383" s="31"/>
      <c r="M383" s="72"/>
      <c r="N383" s="73"/>
      <c r="O383" s="74"/>
      <c r="P383" s="75"/>
      <c r="Q383" s="76"/>
      <c r="S383" s="110"/>
      <c r="T383" s="12"/>
      <c r="U383" s="12"/>
      <c r="V383" s="12"/>
      <c r="W383" s="19"/>
      <c r="X383" s="111"/>
    </row>
    <row r="384" spans="1:24" ht="25.5">
      <c r="A384" s="60"/>
      <c r="B384" s="61"/>
      <c r="C384" s="62"/>
      <c r="D384" s="65"/>
      <c r="E384" s="77" t="s">
        <v>146</v>
      </c>
      <c r="F384" s="33"/>
      <c r="G384" s="42"/>
      <c r="H384" s="43"/>
      <c r="I384" s="43"/>
      <c r="J384" s="36"/>
      <c r="K384" s="37">
        <f t="shared" si="11"/>
      </c>
      <c r="L384" s="31" t="s">
        <v>268</v>
      </c>
      <c r="M384" s="72"/>
      <c r="N384" s="73"/>
      <c r="O384" s="74"/>
      <c r="P384" s="75"/>
      <c r="Q384" s="76"/>
      <c r="S384" s="110"/>
      <c r="T384" s="12"/>
      <c r="U384" s="12"/>
      <c r="V384" s="12"/>
      <c r="W384" s="19"/>
      <c r="X384" s="111"/>
    </row>
    <row r="385" spans="1:24" ht="12.75" outlineLevel="1">
      <c r="A385" s="60"/>
      <c r="B385" s="61"/>
      <c r="C385" s="62"/>
      <c r="D385" s="65"/>
      <c r="E385" s="77"/>
      <c r="F385" s="33"/>
      <c r="G385" s="42"/>
      <c r="H385" s="43"/>
      <c r="I385" s="43"/>
      <c r="J385" s="36"/>
      <c r="K385" s="37">
        <f t="shared" si="11"/>
      </c>
      <c r="L385" s="31"/>
      <c r="M385" s="72"/>
      <c r="N385" s="73"/>
      <c r="O385" s="74"/>
      <c r="P385" s="75"/>
      <c r="Q385" s="76"/>
      <c r="S385" s="113" t="s">
        <v>257</v>
      </c>
      <c r="T385" s="12"/>
      <c r="U385" s="12"/>
      <c r="V385" s="12"/>
      <c r="W385" s="19"/>
      <c r="X385" s="111"/>
    </row>
    <row r="386" spans="1:24" ht="12.75" outlineLevel="1">
      <c r="A386" s="60"/>
      <c r="B386" s="61"/>
      <c r="C386" s="62"/>
      <c r="D386" s="65"/>
      <c r="E386" s="44" t="s">
        <v>158</v>
      </c>
      <c r="F386" s="33">
        <v>1</v>
      </c>
      <c r="G386" s="42" t="s">
        <v>8</v>
      </c>
      <c r="H386" s="43"/>
      <c r="I386" s="43"/>
      <c r="J386" s="36">
        <f>13000*1.2</f>
        <v>15600</v>
      </c>
      <c r="K386" s="37">
        <f t="shared" si="11"/>
        <v>15600</v>
      </c>
      <c r="L386" s="31" t="s">
        <v>171</v>
      </c>
      <c r="M386" s="72"/>
      <c r="N386" s="73"/>
      <c r="O386" s="74"/>
      <c r="P386" s="75"/>
      <c r="Q386" s="76"/>
      <c r="S386" s="110" t="str">
        <f>+E386</f>
        <v>Typical installation</v>
      </c>
      <c r="T386" s="114">
        <f>+K386</f>
        <v>15600</v>
      </c>
      <c r="U386" s="12"/>
      <c r="V386" s="12">
        <v>60</v>
      </c>
      <c r="W386" s="19">
        <f>ROUND(+IF(V386&gt;0,T386/V386,""),2)</f>
        <v>260</v>
      </c>
      <c r="X386" s="111"/>
    </row>
    <row r="387" spans="1:24" ht="12.75" outlineLevel="1">
      <c r="A387" s="60"/>
      <c r="B387" s="61"/>
      <c r="C387" s="62"/>
      <c r="D387" s="65"/>
      <c r="E387" s="77"/>
      <c r="F387" s="33"/>
      <c r="G387" s="42"/>
      <c r="H387" s="43"/>
      <c r="I387" s="43"/>
      <c r="J387" s="36"/>
      <c r="K387" s="37">
        <f t="shared" si="11"/>
      </c>
      <c r="L387" s="31" t="s">
        <v>172</v>
      </c>
      <c r="M387" s="72"/>
      <c r="N387" s="73"/>
      <c r="O387" s="74"/>
      <c r="P387" s="75"/>
      <c r="Q387" s="76"/>
      <c r="S387" s="110"/>
      <c r="T387" s="12"/>
      <c r="U387" s="12"/>
      <c r="V387" s="12"/>
      <c r="W387" s="19"/>
      <c r="X387" s="111"/>
    </row>
    <row r="388" spans="1:24" ht="12.75" outlineLevel="1">
      <c r="A388" s="60"/>
      <c r="B388" s="61"/>
      <c r="C388" s="62"/>
      <c r="D388" s="65"/>
      <c r="E388" s="77"/>
      <c r="F388" s="33"/>
      <c r="G388" s="42"/>
      <c r="H388" s="43"/>
      <c r="I388" s="43"/>
      <c r="J388" s="36"/>
      <c r="K388" s="37">
        <f t="shared" si="11"/>
      </c>
      <c r="L388" s="31"/>
      <c r="M388" s="72"/>
      <c r="N388" s="73"/>
      <c r="O388" s="74"/>
      <c r="P388" s="75"/>
      <c r="Q388" s="76"/>
      <c r="S388" s="113" t="s">
        <v>251</v>
      </c>
      <c r="T388" s="12"/>
      <c r="U388" s="12"/>
      <c r="V388" s="12"/>
      <c r="W388" s="19"/>
      <c r="X388" s="111"/>
    </row>
    <row r="389" spans="1:24" ht="12.75" outlineLevel="1">
      <c r="A389" s="60"/>
      <c r="B389" s="61"/>
      <c r="C389" s="62"/>
      <c r="D389" s="65"/>
      <c r="E389" s="77"/>
      <c r="F389" s="33"/>
      <c r="G389" s="42"/>
      <c r="H389" s="43"/>
      <c r="I389" s="43"/>
      <c r="J389" s="36"/>
      <c r="K389" s="37"/>
      <c r="L389" s="31"/>
      <c r="M389" s="72"/>
      <c r="N389" s="73"/>
      <c r="O389" s="74"/>
      <c r="P389" s="75"/>
      <c r="Q389" s="76"/>
      <c r="S389" s="110" t="s">
        <v>267</v>
      </c>
      <c r="T389" s="12"/>
      <c r="U389" s="12" t="s">
        <v>269</v>
      </c>
      <c r="V389" s="12">
        <v>1</v>
      </c>
      <c r="W389" s="19"/>
      <c r="X389" s="111"/>
    </row>
    <row r="390" spans="1:24" ht="12.75" outlineLevel="1">
      <c r="A390" s="60"/>
      <c r="B390" s="61"/>
      <c r="C390" s="62"/>
      <c r="D390" s="65"/>
      <c r="E390" s="77"/>
      <c r="F390" s="33"/>
      <c r="G390" s="42"/>
      <c r="H390" s="43"/>
      <c r="I390" s="43"/>
      <c r="J390" s="36"/>
      <c r="K390" s="37"/>
      <c r="L390" s="31"/>
      <c r="M390" s="72"/>
      <c r="N390" s="73"/>
      <c r="O390" s="74"/>
      <c r="P390" s="75"/>
      <c r="Q390" s="76"/>
      <c r="S390" s="110" t="s">
        <v>270</v>
      </c>
      <c r="T390" s="12"/>
      <c r="U390" s="12" t="s">
        <v>269</v>
      </c>
      <c r="V390" s="12" t="s">
        <v>269</v>
      </c>
      <c r="W390" s="19"/>
      <c r="X390" s="111"/>
    </row>
    <row r="391" spans="1:24" ht="12.75" outlineLevel="1">
      <c r="A391" s="60"/>
      <c r="B391" s="61"/>
      <c r="C391" s="62"/>
      <c r="D391" s="65"/>
      <c r="E391" s="77"/>
      <c r="F391" s="33"/>
      <c r="G391" s="42"/>
      <c r="H391" s="43"/>
      <c r="I391" s="43"/>
      <c r="J391" s="36"/>
      <c r="K391" s="37">
        <f t="shared" si="11"/>
      </c>
      <c r="L391" s="31"/>
      <c r="M391" s="72"/>
      <c r="N391" s="73"/>
      <c r="O391" s="74"/>
      <c r="P391" s="75"/>
      <c r="Q391" s="76"/>
      <c r="S391" s="110" t="s">
        <v>271</v>
      </c>
      <c r="T391" s="12"/>
      <c r="U391" s="12" t="s">
        <v>269</v>
      </c>
      <c r="V391" s="12" t="s">
        <v>269</v>
      </c>
      <c r="W391" s="19"/>
      <c r="X391" s="111"/>
    </row>
    <row r="392" spans="1:24" ht="12.75">
      <c r="A392" s="60"/>
      <c r="B392" s="61"/>
      <c r="C392" s="62"/>
      <c r="D392" s="65"/>
      <c r="E392" s="77"/>
      <c r="F392" s="33"/>
      <c r="G392" s="42"/>
      <c r="H392" s="43"/>
      <c r="I392" s="43"/>
      <c r="J392" s="36"/>
      <c r="K392" s="37"/>
      <c r="L392" s="31"/>
      <c r="M392" s="72"/>
      <c r="N392" s="73"/>
      <c r="O392" s="74"/>
      <c r="P392" s="75"/>
      <c r="Q392" s="76"/>
      <c r="S392" s="110"/>
      <c r="T392" s="12"/>
      <c r="U392" s="12"/>
      <c r="V392" s="12"/>
      <c r="W392" s="19"/>
      <c r="X392" s="111"/>
    </row>
    <row r="393" spans="1:24" ht="12.75">
      <c r="A393" s="60"/>
      <c r="B393" s="61"/>
      <c r="C393" s="62"/>
      <c r="D393" s="65"/>
      <c r="E393" s="77"/>
      <c r="F393" s="33"/>
      <c r="G393" s="42"/>
      <c r="H393" s="43"/>
      <c r="I393" s="43"/>
      <c r="J393" s="36"/>
      <c r="K393" s="37"/>
      <c r="L393" s="31"/>
      <c r="M393" s="72"/>
      <c r="N393" s="73"/>
      <c r="O393" s="74"/>
      <c r="P393" s="75"/>
      <c r="Q393" s="76"/>
      <c r="S393" s="110"/>
      <c r="T393" s="12"/>
      <c r="U393" s="12"/>
      <c r="V393" s="12"/>
      <c r="W393" s="19"/>
      <c r="X393" s="111"/>
    </row>
    <row r="394" spans="1:24" ht="12.75">
      <c r="A394" s="60"/>
      <c r="B394" s="61"/>
      <c r="C394" s="62"/>
      <c r="D394" s="65"/>
      <c r="E394" s="77" t="s">
        <v>147</v>
      </c>
      <c r="F394" s="33"/>
      <c r="G394" s="42"/>
      <c r="H394" s="43"/>
      <c r="I394" s="43"/>
      <c r="J394" s="36"/>
      <c r="K394" s="53">
        <f>SUM(K396:K407)</f>
        <v>2151.677</v>
      </c>
      <c r="L394" s="31" t="s">
        <v>148</v>
      </c>
      <c r="M394" s="72"/>
      <c r="N394" s="73"/>
      <c r="O394" s="74"/>
      <c r="P394" s="75"/>
      <c r="Q394" s="76"/>
      <c r="S394" s="110"/>
      <c r="T394" s="12"/>
      <c r="U394" s="12"/>
      <c r="V394" s="12"/>
      <c r="W394" s="112">
        <f>SUM(W395:W408)</f>
        <v>159.3</v>
      </c>
      <c r="X394" s="122"/>
    </row>
    <row r="395" spans="1:24" ht="25.5" outlineLevel="1">
      <c r="A395" s="60"/>
      <c r="B395" s="61"/>
      <c r="C395" s="62"/>
      <c r="D395" s="65"/>
      <c r="E395" s="77"/>
      <c r="F395" s="33"/>
      <c r="G395" s="42"/>
      <c r="H395" s="43"/>
      <c r="I395" s="43"/>
      <c r="J395" s="36"/>
      <c r="K395" s="37">
        <f t="shared" si="11"/>
      </c>
      <c r="L395" s="44" t="s">
        <v>155</v>
      </c>
      <c r="M395" s="72"/>
      <c r="N395" s="73"/>
      <c r="O395" s="74"/>
      <c r="P395" s="75"/>
      <c r="Q395" s="76"/>
      <c r="S395" s="113" t="s">
        <v>257</v>
      </c>
      <c r="T395" s="12"/>
      <c r="U395" s="12"/>
      <c r="V395" s="12"/>
      <c r="W395" s="19"/>
      <c r="X395" s="122"/>
    </row>
    <row r="396" spans="1:24" ht="12.75" outlineLevel="1">
      <c r="A396" s="60"/>
      <c r="B396" s="61"/>
      <c r="C396" s="62"/>
      <c r="D396" s="65"/>
      <c r="E396" s="44" t="s">
        <v>149</v>
      </c>
      <c r="F396" s="33">
        <v>1</v>
      </c>
      <c r="G396" s="42" t="s">
        <v>8</v>
      </c>
      <c r="H396" s="43"/>
      <c r="I396" s="43"/>
      <c r="J396" s="36">
        <f>595*1.2</f>
        <v>714</v>
      </c>
      <c r="K396" s="37">
        <f t="shared" si="11"/>
        <v>714</v>
      </c>
      <c r="L396" s="31"/>
      <c r="M396" s="72"/>
      <c r="N396" s="73"/>
      <c r="O396" s="74"/>
      <c r="P396" s="75"/>
      <c r="Q396" s="76"/>
      <c r="S396" s="110" t="str">
        <f>+E396</f>
        <v>Purchase stove - Stockton 5</v>
      </c>
      <c r="T396" s="114">
        <f>+K396</f>
        <v>714</v>
      </c>
      <c r="U396" s="12"/>
      <c r="V396" s="12">
        <v>20</v>
      </c>
      <c r="W396" s="19">
        <f>ROUND(+IF(V396&gt;0,T396/V396,""),2)</f>
        <v>35.7</v>
      </c>
      <c r="X396" s="122"/>
    </row>
    <row r="397" spans="1:24" ht="12.75" outlineLevel="1">
      <c r="A397" s="60"/>
      <c r="B397" s="61"/>
      <c r="C397" s="62"/>
      <c r="D397" s="65"/>
      <c r="E397" s="44"/>
      <c r="F397" s="33"/>
      <c r="G397" s="42"/>
      <c r="H397" s="43"/>
      <c r="I397" s="43"/>
      <c r="J397" s="36"/>
      <c r="K397" s="37">
        <f t="shared" si="11"/>
      </c>
      <c r="L397" s="31"/>
      <c r="M397" s="72"/>
      <c r="N397" s="73"/>
      <c r="O397" s="74"/>
      <c r="P397" s="75"/>
      <c r="Q397" s="76"/>
      <c r="S397" s="110"/>
      <c r="T397" s="12"/>
      <c r="U397" s="12"/>
      <c r="V397" s="12"/>
      <c r="W397" s="19"/>
      <c r="X397" s="111"/>
    </row>
    <row r="398" spans="1:24" ht="12.75" outlineLevel="1">
      <c r="A398" s="60"/>
      <c r="B398" s="61"/>
      <c r="C398" s="62"/>
      <c r="D398" s="65"/>
      <c r="E398" s="44" t="s">
        <v>150</v>
      </c>
      <c r="F398" s="33">
        <v>1</v>
      </c>
      <c r="G398" s="42" t="s">
        <v>8</v>
      </c>
      <c r="H398" s="43"/>
      <c r="I398" s="43"/>
      <c r="J398" s="36">
        <f>24.96*1.2</f>
        <v>29.951999999999998</v>
      </c>
      <c r="K398" s="37">
        <f t="shared" si="11"/>
        <v>29.951999999999998</v>
      </c>
      <c r="L398" s="31"/>
      <c r="M398" s="72"/>
      <c r="N398" s="73"/>
      <c r="O398" s="74"/>
      <c r="P398" s="75"/>
      <c r="Q398" s="76"/>
      <c r="S398" s="110" t="str">
        <f>+E398</f>
        <v>Smoke control kit</v>
      </c>
      <c r="T398" s="114">
        <f>+K398</f>
        <v>29.951999999999998</v>
      </c>
      <c r="U398" s="12"/>
      <c r="V398" s="12">
        <v>20</v>
      </c>
      <c r="W398" s="19">
        <f>ROUND(+IF(V398&gt;0,T398/V398,""),2)</f>
        <v>1.5</v>
      </c>
      <c r="X398" s="111"/>
    </row>
    <row r="399" spans="1:24" ht="12.75" outlineLevel="1">
      <c r="A399" s="60"/>
      <c r="B399" s="61"/>
      <c r="C399" s="62"/>
      <c r="D399" s="65"/>
      <c r="E399" s="44"/>
      <c r="F399" s="33"/>
      <c r="G399" s="42"/>
      <c r="H399" s="43"/>
      <c r="I399" s="43"/>
      <c r="J399" s="36"/>
      <c r="K399" s="37">
        <f t="shared" si="11"/>
      </c>
      <c r="L399" s="31"/>
      <c r="M399" s="72"/>
      <c r="N399" s="73"/>
      <c r="O399" s="74"/>
      <c r="P399" s="75"/>
      <c r="Q399" s="76"/>
      <c r="S399" s="110"/>
      <c r="T399" s="12"/>
      <c r="U399" s="12"/>
      <c r="V399" s="12"/>
      <c r="W399" s="19"/>
      <c r="X399" s="111"/>
    </row>
    <row r="400" spans="1:24" ht="12.75" outlineLevel="1">
      <c r="A400" s="60"/>
      <c r="B400" s="61"/>
      <c r="C400" s="62"/>
      <c r="D400" s="65"/>
      <c r="E400" s="44" t="s">
        <v>151</v>
      </c>
      <c r="F400" s="33">
        <v>1</v>
      </c>
      <c r="G400" s="42" t="s">
        <v>8</v>
      </c>
      <c r="H400" s="43"/>
      <c r="I400" s="43"/>
      <c r="J400" s="36">
        <f>300*1.2</f>
        <v>360</v>
      </c>
      <c r="K400" s="37">
        <f t="shared" si="11"/>
        <v>360</v>
      </c>
      <c r="L400" s="31"/>
      <c r="M400" s="72"/>
      <c r="N400" s="73"/>
      <c r="O400" s="74"/>
      <c r="P400" s="75"/>
      <c r="Q400" s="76"/>
      <c r="S400" s="110"/>
      <c r="T400" s="12"/>
      <c r="U400" s="12"/>
      <c r="V400" s="12"/>
      <c r="W400" s="19"/>
      <c r="X400" s="111"/>
    </row>
    <row r="401" spans="1:24" ht="12.75" outlineLevel="1">
      <c r="A401" s="60"/>
      <c r="B401" s="61"/>
      <c r="C401" s="62"/>
      <c r="D401" s="65"/>
      <c r="E401" s="44"/>
      <c r="F401" s="33"/>
      <c r="G401" s="42"/>
      <c r="H401" s="43"/>
      <c r="I401" s="43"/>
      <c r="J401" s="36"/>
      <c r="K401" s="37">
        <f t="shared" si="11"/>
      </c>
      <c r="L401" s="31"/>
      <c r="M401" s="72"/>
      <c r="N401" s="73"/>
      <c r="O401" s="74"/>
      <c r="P401" s="75"/>
      <c r="Q401" s="76"/>
      <c r="S401" s="110"/>
      <c r="T401" s="12"/>
      <c r="U401" s="12"/>
      <c r="V401" s="12"/>
      <c r="W401" s="19"/>
      <c r="X401" s="111"/>
    </row>
    <row r="402" spans="1:24" ht="12.75" outlineLevel="1">
      <c r="A402" s="60"/>
      <c r="B402" s="61"/>
      <c r="C402" s="62"/>
      <c r="D402" s="65"/>
      <c r="E402" s="44" t="s">
        <v>152</v>
      </c>
      <c r="F402" s="33">
        <v>1</v>
      </c>
      <c r="G402" s="42" t="s">
        <v>8</v>
      </c>
      <c r="H402" s="43"/>
      <c r="I402" s="43"/>
      <c r="J402" s="36">
        <f>535*1.2</f>
        <v>642</v>
      </c>
      <c r="K402" s="37">
        <f t="shared" si="11"/>
        <v>642</v>
      </c>
      <c r="L402" s="31"/>
      <c r="M402" s="72"/>
      <c r="N402" s="73"/>
      <c r="O402" s="74"/>
      <c r="P402" s="75"/>
      <c r="Q402" s="76"/>
      <c r="S402" s="110" t="str">
        <f>+E402</f>
        <v>Liner and vermiculite</v>
      </c>
      <c r="T402" s="114">
        <f>+K402</f>
        <v>642</v>
      </c>
      <c r="U402" s="12"/>
      <c r="V402" s="12">
        <v>20</v>
      </c>
      <c r="W402" s="19">
        <f>ROUND(+IF(V402&gt;0,T402/V402,""),2)</f>
        <v>32.1</v>
      </c>
      <c r="X402" s="111"/>
    </row>
    <row r="403" spans="1:24" ht="12.75" outlineLevel="1">
      <c r="A403" s="60"/>
      <c r="B403" s="61"/>
      <c r="C403" s="62"/>
      <c r="D403" s="65"/>
      <c r="E403" s="44"/>
      <c r="F403" s="33"/>
      <c r="G403" s="42"/>
      <c r="H403" s="43"/>
      <c r="I403" s="43"/>
      <c r="J403" s="36"/>
      <c r="K403" s="37">
        <f t="shared" si="11"/>
      </c>
      <c r="L403" s="31"/>
      <c r="M403" s="72"/>
      <c r="N403" s="73"/>
      <c r="O403" s="74"/>
      <c r="P403" s="75"/>
      <c r="Q403" s="76"/>
      <c r="S403" s="110"/>
      <c r="T403" s="12"/>
      <c r="U403" s="12"/>
      <c r="V403" s="12"/>
      <c r="W403" s="19"/>
      <c r="X403" s="111"/>
    </row>
    <row r="404" spans="1:24" ht="25.5" outlineLevel="1">
      <c r="A404" s="60"/>
      <c r="B404" s="61"/>
      <c r="C404" s="62"/>
      <c r="D404" s="65"/>
      <c r="E404" s="44" t="s">
        <v>153</v>
      </c>
      <c r="F404" s="33">
        <v>1</v>
      </c>
      <c r="G404" s="42" t="s">
        <v>8</v>
      </c>
      <c r="H404" s="43">
        <v>2</v>
      </c>
      <c r="I404" s="43">
        <v>50</v>
      </c>
      <c r="J404" s="36">
        <f>IF(+I404+H404&gt;0,I404+(H404*labour),"")</f>
        <v>110</v>
      </c>
      <c r="K404" s="37">
        <f t="shared" si="11"/>
        <v>110</v>
      </c>
      <c r="L404" s="31"/>
      <c r="M404" s="72"/>
      <c r="N404" s="73"/>
      <c r="O404" s="74"/>
      <c r="P404" s="75"/>
      <c r="Q404" s="76"/>
      <c r="S404" s="113" t="s">
        <v>251</v>
      </c>
      <c r="T404" s="12"/>
      <c r="U404" s="12"/>
      <c r="V404" s="12"/>
      <c r="W404" s="19"/>
      <c r="X404" s="111" t="s">
        <v>272</v>
      </c>
    </row>
    <row r="405" spans="1:24" ht="12.75" outlineLevel="1">
      <c r="A405" s="60"/>
      <c r="B405" s="61"/>
      <c r="C405" s="62"/>
      <c r="D405" s="65"/>
      <c r="E405" s="44"/>
      <c r="F405" s="33"/>
      <c r="G405" s="42"/>
      <c r="H405" s="43"/>
      <c r="I405" s="43"/>
      <c r="J405" s="36">
        <f>IF(+I405+H405&gt;0,I405+(H405*labour),"")</f>
      </c>
      <c r="K405" s="37">
        <f t="shared" si="11"/>
      </c>
      <c r="L405" s="31"/>
      <c r="M405" s="72"/>
      <c r="N405" s="73"/>
      <c r="O405" s="74"/>
      <c r="P405" s="75"/>
      <c r="Q405" s="76"/>
      <c r="S405" s="110" t="s">
        <v>273</v>
      </c>
      <c r="T405" s="12"/>
      <c r="U405" s="12">
        <v>70</v>
      </c>
      <c r="V405" s="12">
        <v>1</v>
      </c>
      <c r="W405" s="19">
        <f>+U405/V405</f>
        <v>70</v>
      </c>
      <c r="X405" s="111"/>
    </row>
    <row r="406" spans="1:24" ht="12.75" outlineLevel="1">
      <c r="A406" s="60"/>
      <c r="B406" s="61"/>
      <c r="C406" s="62"/>
      <c r="D406" s="65"/>
      <c r="E406" s="44" t="s">
        <v>154</v>
      </c>
      <c r="F406" s="33">
        <v>1</v>
      </c>
      <c r="G406" s="42" t="s">
        <v>8</v>
      </c>
      <c r="H406" s="43"/>
      <c r="I406" s="43"/>
      <c r="J406" s="36">
        <f>+K141</f>
        <v>295.725</v>
      </c>
      <c r="K406" s="37">
        <f t="shared" si="11"/>
        <v>295.725</v>
      </c>
      <c r="L406" s="31"/>
      <c r="M406" s="72"/>
      <c r="N406" s="73"/>
      <c r="O406" s="74"/>
      <c r="P406" s="75"/>
      <c r="Q406" s="76"/>
      <c r="S406" s="110" t="s">
        <v>274</v>
      </c>
      <c r="T406" s="12"/>
      <c r="U406" s="12">
        <v>40</v>
      </c>
      <c r="V406" s="12">
        <v>5</v>
      </c>
      <c r="W406" s="19">
        <f>+U406/V406</f>
        <v>8</v>
      </c>
      <c r="X406" s="111" t="s">
        <v>272</v>
      </c>
    </row>
    <row r="407" spans="1:24" ht="12.75" outlineLevel="1">
      <c r="A407" s="60"/>
      <c r="B407" s="61"/>
      <c r="C407" s="62"/>
      <c r="D407" s="65"/>
      <c r="E407" s="44"/>
      <c r="F407" s="33"/>
      <c r="G407" s="42"/>
      <c r="H407" s="43"/>
      <c r="I407" s="43"/>
      <c r="J407" s="36">
        <f>+K142</f>
      </c>
      <c r="K407" s="37">
        <f aca="true" t="shared" si="25" ref="K407:K414">+IF(F407="item",J407,IF(F407&lt;&gt;0,F407*J407,""))</f>
      </c>
      <c r="L407" s="31"/>
      <c r="M407" s="72"/>
      <c r="N407" s="73"/>
      <c r="O407" s="74"/>
      <c r="P407" s="75"/>
      <c r="Q407" s="76"/>
      <c r="S407" s="110" t="s">
        <v>275</v>
      </c>
      <c r="T407" s="12"/>
      <c r="U407" s="12">
        <v>60</v>
      </c>
      <c r="V407" s="12">
        <v>5</v>
      </c>
      <c r="W407" s="19">
        <f>+U407/V407</f>
        <v>12</v>
      </c>
      <c r="X407" s="111"/>
    </row>
    <row r="408" spans="1:24" ht="12.75">
      <c r="A408" s="60"/>
      <c r="B408" s="61"/>
      <c r="C408" s="62"/>
      <c r="D408" s="65"/>
      <c r="E408" s="44"/>
      <c r="F408" s="33"/>
      <c r="G408" s="42"/>
      <c r="H408" s="43"/>
      <c r="I408" s="43"/>
      <c r="J408" s="36">
        <f>IF(+I408+H408&gt;0,I408+(H408*labour),"")</f>
      </c>
      <c r="K408" s="37">
        <f t="shared" si="25"/>
      </c>
      <c r="L408" s="31"/>
      <c r="M408" s="72"/>
      <c r="N408" s="73"/>
      <c r="O408" s="74"/>
      <c r="P408" s="75"/>
      <c r="Q408" s="76"/>
      <c r="S408" s="110"/>
      <c r="T408" s="12"/>
      <c r="U408" s="12"/>
      <c r="V408" s="12"/>
      <c r="W408" s="19"/>
      <c r="X408" s="111"/>
    </row>
    <row r="409" spans="1:24" ht="12.75">
      <c r="A409" s="60"/>
      <c r="B409" s="61"/>
      <c r="C409" s="62"/>
      <c r="D409" s="65"/>
      <c r="E409" s="44"/>
      <c r="F409" s="33"/>
      <c r="G409" s="42"/>
      <c r="H409" s="43"/>
      <c r="I409" s="43"/>
      <c r="J409" s="36">
        <f>IF(+I409+H409&gt;0,I409+(H409*labour),"")</f>
      </c>
      <c r="K409" s="37">
        <f t="shared" si="25"/>
      </c>
      <c r="L409" s="31"/>
      <c r="M409" s="72"/>
      <c r="N409" s="73"/>
      <c r="O409" s="74"/>
      <c r="P409" s="75"/>
      <c r="Q409" s="76"/>
      <c r="S409" s="110"/>
      <c r="T409" s="12"/>
      <c r="U409" s="12"/>
      <c r="V409" s="12"/>
      <c r="W409" s="19"/>
      <c r="X409" s="111"/>
    </row>
    <row r="410" spans="1:24" ht="12.75">
      <c r="A410" s="60"/>
      <c r="B410" s="61"/>
      <c r="C410" s="62"/>
      <c r="D410" s="65"/>
      <c r="E410" s="77" t="s">
        <v>156</v>
      </c>
      <c r="F410" s="33"/>
      <c r="G410" s="42"/>
      <c r="H410" s="43"/>
      <c r="I410" s="43"/>
      <c r="J410" s="36">
        <f>IF(+I410+H410&gt;0,I410+(H410*labour),"")</f>
      </c>
      <c r="K410" s="53">
        <v>4800</v>
      </c>
      <c r="L410" s="31"/>
      <c r="M410" s="72"/>
      <c r="N410" s="73"/>
      <c r="O410" s="74"/>
      <c r="P410" s="75"/>
      <c r="Q410" s="76"/>
      <c r="S410" s="110"/>
      <c r="T410" s="12"/>
      <c r="U410" s="12"/>
      <c r="V410" s="12"/>
      <c r="W410" s="112">
        <f>SUM(W411:W413)</f>
        <v>310</v>
      </c>
      <c r="X410" s="111"/>
    </row>
    <row r="411" spans="1:24" ht="12.75" outlineLevel="1">
      <c r="A411" s="60"/>
      <c r="B411" s="61"/>
      <c r="C411" s="62"/>
      <c r="D411" s="65"/>
      <c r="E411" s="77"/>
      <c r="F411" s="33"/>
      <c r="G411" s="42"/>
      <c r="H411" s="43"/>
      <c r="I411" s="43"/>
      <c r="J411" s="36"/>
      <c r="K411" s="37"/>
      <c r="L411" s="31"/>
      <c r="M411" s="72"/>
      <c r="N411" s="73"/>
      <c r="O411" s="74"/>
      <c r="P411" s="75"/>
      <c r="Q411" s="76"/>
      <c r="S411" s="113" t="s">
        <v>257</v>
      </c>
      <c r="T411" s="114">
        <f>+K410</f>
        <v>4800</v>
      </c>
      <c r="U411" s="12"/>
      <c r="V411" s="12">
        <v>20</v>
      </c>
      <c r="W411" s="19">
        <f>+T411/V411</f>
        <v>240</v>
      </c>
      <c r="X411" s="111"/>
    </row>
    <row r="412" spans="1:24" ht="12.75" outlineLevel="1">
      <c r="A412" s="60"/>
      <c r="B412" s="61"/>
      <c r="C412" s="62"/>
      <c r="D412" s="65"/>
      <c r="E412" s="44" t="s">
        <v>158</v>
      </c>
      <c r="F412" s="33"/>
      <c r="G412" s="42"/>
      <c r="H412" s="43"/>
      <c r="I412" s="43"/>
      <c r="J412" s="36"/>
      <c r="K412" s="37"/>
      <c r="L412" s="31"/>
      <c r="M412" s="72"/>
      <c r="N412" s="73"/>
      <c r="O412" s="74"/>
      <c r="P412" s="75"/>
      <c r="Q412" s="76"/>
      <c r="S412" s="113" t="s">
        <v>251</v>
      </c>
      <c r="T412" s="12"/>
      <c r="U412" s="12"/>
      <c r="V412" s="12"/>
      <c r="W412" s="19"/>
      <c r="X412" s="111"/>
    </row>
    <row r="413" spans="1:24" ht="38.25" outlineLevel="1">
      <c r="A413" s="60"/>
      <c r="B413" s="61"/>
      <c r="C413" s="62"/>
      <c r="D413" s="65"/>
      <c r="E413" s="44"/>
      <c r="F413" s="33"/>
      <c r="G413" s="42"/>
      <c r="H413" s="43"/>
      <c r="I413" s="43"/>
      <c r="J413" s="36">
        <f>IF(+I413+H413&gt;0,I413+(H413*labour),"")</f>
      </c>
      <c r="K413" s="37">
        <f t="shared" si="25"/>
      </c>
      <c r="L413" s="69" t="s">
        <v>162</v>
      </c>
      <c r="M413" s="72"/>
      <c r="N413" s="73"/>
      <c r="O413" s="74"/>
      <c r="P413" s="75"/>
      <c r="Q413" s="76"/>
      <c r="S413" s="110" t="s">
        <v>276</v>
      </c>
      <c r="T413" s="12"/>
      <c r="U413" s="12">
        <v>70</v>
      </c>
      <c r="V413" s="12">
        <v>1</v>
      </c>
      <c r="W413" s="19">
        <f>+U413/V413</f>
        <v>70</v>
      </c>
      <c r="X413" s="111"/>
    </row>
    <row r="414" spans="1:24" ht="12.75">
      <c r="A414" s="60"/>
      <c r="B414" s="61"/>
      <c r="C414" s="62"/>
      <c r="D414" s="65"/>
      <c r="E414" s="44"/>
      <c r="F414" s="33"/>
      <c r="G414" s="42"/>
      <c r="H414" s="43"/>
      <c r="I414" s="43"/>
      <c r="J414" s="36">
        <f>IF(+I414+H414&gt;0,I414+(H414*labour),"")</f>
      </c>
      <c r="K414" s="37">
        <f t="shared" si="25"/>
      </c>
      <c r="L414" s="31"/>
      <c r="M414" s="72"/>
      <c r="N414" s="73"/>
      <c r="O414" s="74"/>
      <c r="P414" s="75"/>
      <c r="Q414" s="76"/>
      <c r="S414" s="110"/>
      <c r="T414" s="12"/>
      <c r="U414" s="12"/>
      <c r="V414" s="12"/>
      <c r="W414" s="19"/>
      <c r="X414" s="111"/>
    </row>
    <row r="415" spans="1:24" ht="12.75">
      <c r="A415" s="60"/>
      <c r="B415" s="61"/>
      <c r="C415" s="62"/>
      <c r="D415" s="65"/>
      <c r="E415" s="44"/>
      <c r="F415" s="33"/>
      <c r="G415" s="42"/>
      <c r="H415" s="43"/>
      <c r="I415" s="43"/>
      <c r="J415" s="36"/>
      <c r="K415" s="37"/>
      <c r="L415" s="31"/>
      <c r="M415" s="72"/>
      <c r="N415" s="73"/>
      <c r="O415" s="74"/>
      <c r="P415" s="75"/>
      <c r="Q415" s="76"/>
      <c r="S415" s="110"/>
      <c r="T415" s="12"/>
      <c r="U415" s="12"/>
      <c r="V415" s="12"/>
      <c r="W415" s="19"/>
      <c r="X415" s="111"/>
    </row>
    <row r="416" spans="1:24" ht="12.75">
      <c r="A416" s="60"/>
      <c r="B416" s="61"/>
      <c r="C416" s="62"/>
      <c r="D416" s="65"/>
      <c r="E416" s="77" t="s">
        <v>161</v>
      </c>
      <c r="F416" s="33"/>
      <c r="G416" s="42"/>
      <c r="H416" s="43"/>
      <c r="I416" s="43"/>
      <c r="J416" s="36">
        <f aca="true" t="shared" si="26" ref="J416:J423">IF(+I416+H416&gt;0,I416+(H416*labour),"")</f>
      </c>
      <c r="K416" s="53">
        <v>18000</v>
      </c>
      <c r="L416" s="31" t="s">
        <v>159</v>
      </c>
      <c r="M416" s="72"/>
      <c r="N416" s="73"/>
      <c r="O416" s="74"/>
      <c r="P416" s="75"/>
      <c r="Q416" s="76"/>
      <c r="S416" s="110"/>
      <c r="T416" s="12"/>
      <c r="U416" s="12"/>
      <c r="V416" s="12"/>
      <c r="W416" s="112">
        <f>SUM(W417:W419)</f>
        <v>970</v>
      </c>
      <c r="X416" s="111"/>
    </row>
    <row r="417" spans="1:24" ht="12.75">
      <c r="A417" s="60"/>
      <c r="B417" s="61"/>
      <c r="C417" s="62"/>
      <c r="D417" s="65"/>
      <c r="E417" s="44"/>
      <c r="F417" s="33"/>
      <c r="G417" s="42"/>
      <c r="H417" s="43"/>
      <c r="I417" s="43"/>
      <c r="J417" s="36">
        <f t="shared" si="26"/>
      </c>
      <c r="K417" s="37">
        <f t="shared" si="11"/>
      </c>
      <c r="L417" s="31"/>
      <c r="M417" s="72"/>
      <c r="N417" s="73"/>
      <c r="O417" s="74"/>
      <c r="P417" s="75"/>
      <c r="Q417" s="76"/>
      <c r="S417" s="113" t="s">
        <v>257</v>
      </c>
      <c r="T417" s="114">
        <f>+K416</f>
        <v>18000</v>
      </c>
      <c r="U417" s="12"/>
      <c r="V417" s="12">
        <v>20</v>
      </c>
      <c r="W417" s="19">
        <f>+T417/V417</f>
        <v>900</v>
      </c>
      <c r="X417" s="111"/>
    </row>
    <row r="418" spans="1:24" ht="12.75" outlineLevel="1">
      <c r="A418" s="60"/>
      <c r="B418" s="61"/>
      <c r="C418" s="62"/>
      <c r="D418" s="65"/>
      <c r="E418" s="44" t="s">
        <v>158</v>
      </c>
      <c r="F418" s="33"/>
      <c r="G418" s="42"/>
      <c r="H418" s="43"/>
      <c r="I418" s="43"/>
      <c r="J418" s="36">
        <f t="shared" si="26"/>
      </c>
      <c r="K418" s="37">
        <f t="shared" si="11"/>
      </c>
      <c r="L418" s="31" t="s">
        <v>160</v>
      </c>
      <c r="M418" s="72"/>
      <c r="N418" s="73"/>
      <c r="O418" s="74"/>
      <c r="P418" s="75"/>
      <c r="Q418" s="76"/>
      <c r="S418" s="113" t="s">
        <v>251</v>
      </c>
      <c r="T418" s="12"/>
      <c r="U418" s="12"/>
      <c r="V418" s="12"/>
      <c r="W418" s="19"/>
      <c r="X418" s="111"/>
    </row>
    <row r="419" spans="1:24" ht="12.75" outlineLevel="1">
      <c r="A419" s="60"/>
      <c r="B419" s="61"/>
      <c r="C419" s="62"/>
      <c r="D419" s="65"/>
      <c r="E419" s="44"/>
      <c r="F419" s="33"/>
      <c r="G419" s="42"/>
      <c r="H419" s="43"/>
      <c r="I419" s="43"/>
      <c r="J419" s="36">
        <f t="shared" si="26"/>
      </c>
      <c r="K419" s="37">
        <f t="shared" si="11"/>
      </c>
      <c r="L419" s="31"/>
      <c r="M419" s="72"/>
      <c r="N419" s="73"/>
      <c r="O419" s="74"/>
      <c r="P419" s="75"/>
      <c r="Q419" s="76"/>
      <c r="S419" s="110" t="s">
        <v>276</v>
      </c>
      <c r="T419" s="12"/>
      <c r="U419" s="12">
        <v>70</v>
      </c>
      <c r="V419" s="12">
        <v>1</v>
      </c>
      <c r="W419" s="19">
        <f>+U419/V419</f>
        <v>70</v>
      </c>
      <c r="X419" s="111"/>
    </row>
    <row r="420" spans="1:24" ht="38.25" outlineLevel="1">
      <c r="A420" s="60"/>
      <c r="B420" s="61"/>
      <c r="C420" s="62"/>
      <c r="D420" s="65"/>
      <c r="E420" s="44"/>
      <c r="F420" s="33"/>
      <c r="G420" s="42"/>
      <c r="H420" s="43"/>
      <c r="I420" s="43"/>
      <c r="J420" s="36">
        <f t="shared" si="26"/>
      </c>
      <c r="K420" s="37">
        <f t="shared" si="11"/>
      </c>
      <c r="L420" s="69" t="s">
        <v>157</v>
      </c>
      <c r="M420" s="72"/>
      <c r="N420" s="73"/>
      <c r="O420" s="74"/>
      <c r="P420" s="75"/>
      <c r="Q420" s="76"/>
      <c r="S420" s="110"/>
      <c r="T420" s="12"/>
      <c r="U420" s="12"/>
      <c r="V420" s="12"/>
      <c r="W420" s="19"/>
      <c r="X420" s="111"/>
    </row>
    <row r="421" spans="1:24" ht="12.75">
      <c r="A421" s="60"/>
      <c r="B421" s="61"/>
      <c r="C421" s="62"/>
      <c r="D421" s="65"/>
      <c r="E421" s="44"/>
      <c r="F421" s="33"/>
      <c r="G421" s="42"/>
      <c r="H421" s="43"/>
      <c r="I421" s="43"/>
      <c r="J421" s="36">
        <f t="shared" si="26"/>
      </c>
      <c r="K421" s="37">
        <f t="shared" si="11"/>
      </c>
      <c r="L421" s="31"/>
      <c r="M421" s="72"/>
      <c r="N421" s="73"/>
      <c r="O421" s="74"/>
      <c r="P421" s="75"/>
      <c r="Q421" s="76"/>
      <c r="S421" s="110"/>
      <c r="T421" s="12"/>
      <c r="U421" s="12"/>
      <c r="V421" s="12"/>
      <c r="W421" s="19"/>
      <c r="X421" s="111"/>
    </row>
    <row r="422" spans="1:24" ht="12.75">
      <c r="A422" s="60"/>
      <c r="B422" s="61"/>
      <c r="C422" s="62"/>
      <c r="D422" s="65"/>
      <c r="E422" s="44"/>
      <c r="F422" s="33"/>
      <c r="G422" s="42"/>
      <c r="H422" s="43"/>
      <c r="I422" s="43"/>
      <c r="J422" s="36">
        <f t="shared" si="26"/>
      </c>
      <c r="K422" s="37">
        <f t="shared" si="11"/>
      </c>
      <c r="L422" s="31"/>
      <c r="M422" s="72"/>
      <c r="N422" s="73"/>
      <c r="O422" s="74"/>
      <c r="P422" s="75"/>
      <c r="Q422" s="76"/>
      <c r="S422" s="110"/>
      <c r="T422" s="12"/>
      <c r="U422" s="12"/>
      <c r="V422" s="12"/>
      <c r="W422" s="19"/>
      <c r="X422" s="111"/>
    </row>
    <row r="423" spans="1:24" ht="38.25">
      <c r="A423" s="60"/>
      <c r="B423" s="61"/>
      <c r="C423" s="62"/>
      <c r="D423" s="65"/>
      <c r="E423" s="77" t="s">
        <v>163</v>
      </c>
      <c r="F423" s="33"/>
      <c r="G423" s="42"/>
      <c r="H423" s="43"/>
      <c r="I423" s="43"/>
      <c r="J423" s="36">
        <f t="shared" si="26"/>
      </c>
      <c r="K423" s="53">
        <f>SUM(K425:K430)</f>
        <v>7385.54</v>
      </c>
      <c r="L423" s="31"/>
      <c r="M423" s="72"/>
      <c r="N423" s="73"/>
      <c r="O423" s="74"/>
      <c r="P423" s="75"/>
      <c r="Q423" s="76"/>
      <c r="S423" s="110"/>
      <c r="T423" s="12"/>
      <c r="U423" s="12"/>
      <c r="V423" s="12"/>
      <c r="W423" s="19"/>
      <c r="X423" s="116" t="s">
        <v>264</v>
      </c>
    </row>
    <row r="424" spans="1:24" ht="12.75">
      <c r="A424" s="60"/>
      <c r="B424" s="61"/>
      <c r="C424" s="62"/>
      <c r="D424" s="65"/>
      <c r="E424" s="77"/>
      <c r="F424" s="33"/>
      <c r="G424" s="42"/>
      <c r="H424" s="43"/>
      <c r="I424" s="43"/>
      <c r="J424" s="36"/>
      <c r="K424" s="37">
        <f t="shared" si="11"/>
      </c>
      <c r="L424" s="31"/>
      <c r="M424" s="72"/>
      <c r="N424" s="73"/>
      <c r="O424" s="74"/>
      <c r="P424" s="75"/>
      <c r="Q424" s="76"/>
      <c r="S424" s="110"/>
      <c r="T424" s="12"/>
      <c r="U424" s="12"/>
      <c r="V424" s="12"/>
      <c r="W424" s="19"/>
      <c r="X424" s="111"/>
    </row>
    <row r="425" spans="1:24" ht="12.75" outlineLevel="1">
      <c r="A425" s="60"/>
      <c r="B425" s="61"/>
      <c r="C425" s="62"/>
      <c r="D425" s="65"/>
      <c r="E425" s="44" t="s">
        <v>165</v>
      </c>
      <c r="F425" s="33">
        <v>1</v>
      </c>
      <c r="G425" s="42" t="s">
        <v>8</v>
      </c>
      <c r="H425" s="43"/>
      <c r="I425" s="43"/>
      <c r="J425" s="36">
        <v>6565.54</v>
      </c>
      <c r="K425" s="37">
        <f t="shared" si="11"/>
        <v>6565.54</v>
      </c>
      <c r="L425" s="31" t="s">
        <v>166</v>
      </c>
      <c r="M425" s="72"/>
      <c r="N425" s="73"/>
      <c r="O425" s="74"/>
      <c r="P425" s="75"/>
      <c r="Q425" s="76"/>
      <c r="S425" s="110"/>
      <c r="T425" s="12"/>
      <c r="U425" s="12"/>
      <c r="V425" s="12"/>
      <c r="W425" s="19"/>
      <c r="X425" s="111"/>
    </row>
    <row r="426" spans="1:24" ht="51" customHeight="1" outlineLevel="1">
      <c r="A426" s="60"/>
      <c r="B426" s="61"/>
      <c r="C426" s="62"/>
      <c r="D426" s="65"/>
      <c r="E426" s="44"/>
      <c r="F426" s="33"/>
      <c r="G426" s="42"/>
      <c r="H426" s="43"/>
      <c r="I426" s="43"/>
      <c r="J426" s="36">
        <f>IF(+I426+H426&gt;0,I426+(H426*labour),"")</f>
      </c>
      <c r="K426" s="37">
        <f t="shared" si="11"/>
      </c>
      <c r="L426" s="69" t="s">
        <v>164</v>
      </c>
      <c r="M426" s="72"/>
      <c r="N426" s="73"/>
      <c r="O426" s="74"/>
      <c r="P426" s="75"/>
      <c r="Q426" s="76"/>
      <c r="S426" s="110"/>
      <c r="T426" s="12"/>
      <c r="U426" s="12"/>
      <c r="V426" s="12"/>
      <c r="W426" s="19"/>
      <c r="X426" s="111"/>
    </row>
    <row r="427" spans="1:24" ht="12.75" outlineLevel="1">
      <c r="A427" s="60"/>
      <c r="B427" s="61"/>
      <c r="C427" s="62"/>
      <c r="D427" s="65"/>
      <c r="E427" s="44" t="s">
        <v>167</v>
      </c>
      <c r="F427" s="33" t="s">
        <v>1</v>
      </c>
      <c r="G427" s="42"/>
      <c r="H427" s="43">
        <v>24</v>
      </c>
      <c r="I427" s="43"/>
      <c r="J427" s="36">
        <f>IF(+I427+H427&gt;0,I427+(H427*labour),"")</f>
        <v>720</v>
      </c>
      <c r="K427" s="37">
        <f t="shared" si="11"/>
        <v>720</v>
      </c>
      <c r="L427" s="31" t="s">
        <v>168</v>
      </c>
      <c r="M427" s="72"/>
      <c r="N427" s="73"/>
      <c r="O427" s="74"/>
      <c r="P427" s="75"/>
      <c r="Q427" s="76"/>
      <c r="S427" s="110"/>
      <c r="T427" s="12"/>
      <c r="U427" s="12"/>
      <c r="V427" s="12"/>
      <c r="W427" s="19"/>
      <c r="X427" s="111"/>
    </row>
    <row r="428" spans="1:24" ht="12.75" outlineLevel="1">
      <c r="A428" s="60"/>
      <c r="B428" s="61"/>
      <c r="C428" s="62"/>
      <c r="D428" s="65"/>
      <c r="E428" s="44"/>
      <c r="F428" s="33"/>
      <c r="G428" s="42"/>
      <c r="H428" s="43"/>
      <c r="I428" s="43"/>
      <c r="J428" s="36">
        <f>IF(+I428+H428&gt;0,I428+(H428*labour),"")</f>
      </c>
      <c r="K428" s="37">
        <f t="shared" si="11"/>
      </c>
      <c r="L428" s="69" t="s">
        <v>169</v>
      </c>
      <c r="M428" s="72"/>
      <c r="N428" s="73"/>
      <c r="O428" s="74"/>
      <c r="P428" s="75"/>
      <c r="Q428" s="76"/>
      <c r="S428" s="110"/>
      <c r="T428" s="12"/>
      <c r="U428" s="12"/>
      <c r="V428" s="12"/>
      <c r="W428" s="19"/>
      <c r="X428" s="111"/>
    </row>
    <row r="429" spans="1:24" ht="12.75" outlineLevel="1">
      <c r="A429" s="60"/>
      <c r="B429" s="61"/>
      <c r="C429" s="62"/>
      <c r="D429" s="65"/>
      <c r="E429" s="44" t="s">
        <v>43</v>
      </c>
      <c r="F429" s="33" t="s">
        <v>1</v>
      </c>
      <c r="G429" s="42"/>
      <c r="H429" s="43"/>
      <c r="I429" s="43"/>
      <c r="J429" s="36">
        <v>100</v>
      </c>
      <c r="K429" s="37">
        <f t="shared" si="11"/>
        <v>100</v>
      </c>
      <c r="L429" s="31"/>
      <c r="M429" s="72"/>
      <c r="N429" s="73"/>
      <c r="O429" s="74"/>
      <c r="P429" s="75"/>
      <c r="Q429" s="76"/>
      <c r="S429" s="110"/>
      <c r="T429" s="12"/>
      <c r="U429" s="12"/>
      <c r="V429" s="12"/>
      <c r="W429" s="19"/>
      <c r="X429" s="111"/>
    </row>
    <row r="430" spans="1:24" ht="12.75">
      <c r="A430" s="60"/>
      <c r="B430" s="61"/>
      <c r="C430" s="62"/>
      <c r="D430" s="65"/>
      <c r="E430" s="44"/>
      <c r="F430" s="33"/>
      <c r="G430" s="42"/>
      <c r="H430" s="43"/>
      <c r="I430" s="43"/>
      <c r="J430" s="36">
        <f>IF(+I430+H430&gt;0,I430+(H430*labour),"")</f>
      </c>
      <c r="K430" s="37">
        <f t="shared" si="11"/>
      </c>
      <c r="L430" s="31"/>
      <c r="M430" s="33"/>
      <c r="N430" s="42"/>
      <c r="O430" s="36"/>
      <c r="P430" s="37"/>
      <c r="Q430" s="54"/>
      <c r="S430" s="110"/>
      <c r="T430" s="12"/>
      <c r="U430" s="12"/>
      <c r="V430" s="12"/>
      <c r="W430" s="19"/>
      <c r="X430" s="111"/>
    </row>
    <row r="431" spans="1:24" ht="12.75">
      <c r="A431" s="60"/>
      <c r="B431" s="61"/>
      <c r="C431" s="62"/>
      <c r="D431" s="65"/>
      <c r="E431" s="44"/>
      <c r="F431" s="33"/>
      <c r="G431" s="42"/>
      <c r="H431" s="43"/>
      <c r="I431" s="43"/>
      <c r="J431" s="36"/>
      <c r="K431" s="37"/>
      <c r="L431" s="31"/>
      <c r="M431" s="33"/>
      <c r="N431" s="42"/>
      <c r="O431" s="36"/>
      <c r="P431" s="37"/>
      <c r="Q431" s="54"/>
      <c r="S431" s="110"/>
      <c r="T431" s="12"/>
      <c r="U431" s="12"/>
      <c r="V431" s="12"/>
      <c r="W431" s="19"/>
      <c r="X431" s="111"/>
    </row>
    <row r="432" spans="1:24" ht="12.75">
      <c r="A432" s="60"/>
      <c r="B432" s="61"/>
      <c r="C432" s="62"/>
      <c r="D432" s="65"/>
      <c r="E432" s="77" t="s">
        <v>173</v>
      </c>
      <c r="F432" s="33"/>
      <c r="G432" s="42"/>
      <c r="H432" s="43"/>
      <c r="I432" s="43"/>
      <c r="J432" s="36"/>
      <c r="K432" s="53">
        <f>SUM(K433:K435)</f>
        <v>10000</v>
      </c>
      <c r="L432" s="31"/>
      <c r="M432" s="72"/>
      <c r="N432" s="73"/>
      <c r="O432" s="74"/>
      <c r="P432" s="75"/>
      <c r="Q432" s="76"/>
      <c r="S432" s="110"/>
      <c r="T432" s="12"/>
      <c r="U432" s="12"/>
      <c r="V432" s="12"/>
      <c r="W432" s="112">
        <f>SUM(W433:W435)</f>
        <v>500</v>
      </c>
      <c r="X432" s="111"/>
    </row>
    <row r="433" spans="1:24" ht="12.75">
      <c r="A433" s="60"/>
      <c r="B433" s="61"/>
      <c r="C433" s="62"/>
      <c r="D433" s="65"/>
      <c r="E433" s="77"/>
      <c r="F433" s="33"/>
      <c r="G433" s="42"/>
      <c r="H433" s="43"/>
      <c r="I433" s="43"/>
      <c r="J433" s="36"/>
      <c r="K433" s="37">
        <f>+IF(F433="item",J433,IF(F433&lt;&gt;0,F433*J433,""))</f>
      </c>
      <c r="L433" s="31"/>
      <c r="M433" s="72"/>
      <c r="N433" s="73"/>
      <c r="O433" s="74"/>
      <c r="P433" s="75"/>
      <c r="Q433" s="76"/>
      <c r="S433" s="113" t="s">
        <v>257</v>
      </c>
      <c r="T433" s="114">
        <f>+K432</f>
        <v>10000</v>
      </c>
      <c r="U433" s="12"/>
      <c r="V433" s="12">
        <v>20</v>
      </c>
      <c r="W433" s="19">
        <f>+T433/V433</f>
        <v>500</v>
      </c>
      <c r="X433" s="111"/>
    </row>
    <row r="434" spans="1:24" ht="12.75">
      <c r="A434" s="60"/>
      <c r="B434" s="61"/>
      <c r="C434" s="62"/>
      <c r="D434" s="65"/>
      <c r="E434" s="44" t="s">
        <v>158</v>
      </c>
      <c r="F434" s="33">
        <v>1</v>
      </c>
      <c r="G434" s="42" t="s">
        <v>8</v>
      </c>
      <c r="H434" s="43"/>
      <c r="I434" s="43"/>
      <c r="J434" s="36">
        <v>10000</v>
      </c>
      <c r="K434" s="37">
        <f>+IF(F434="item",J434,IF(F434&lt;&gt;0,F434*J434,""))</f>
        <v>10000</v>
      </c>
      <c r="L434" s="31" t="s">
        <v>172</v>
      </c>
      <c r="M434" s="72"/>
      <c r="N434" s="73"/>
      <c r="O434" s="74"/>
      <c r="P434" s="75"/>
      <c r="Q434" s="76"/>
      <c r="S434" s="113" t="s">
        <v>251</v>
      </c>
      <c r="T434" s="12"/>
      <c r="U434" s="12"/>
      <c r="V434" s="12"/>
      <c r="W434" s="19"/>
      <c r="X434" s="111"/>
    </row>
    <row r="435" spans="1:24" ht="12.75">
      <c r="A435" s="60"/>
      <c r="B435" s="61"/>
      <c r="C435" s="62"/>
      <c r="D435" s="65"/>
      <c r="E435" s="77"/>
      <c r="F435" s="33"/>
      <c r="G435" s="42"/>
      <c r="H435" s="43"/>
      <c r="I435" s="43"/>
      <c r="J435" s="36"/>
      <c r="K435" s="37">
        <f>+IF(F435="item",J435,IF(F435&lt;&gt;0,F435*J435,""))</f>
      </c>
      <c r="L435" s="31"/>
      <c r="M435" s="72"/>
      <c r="N435" s="73"/>
      <c r="O435" s="74"/>
      <c r="P435" s="75"/>
      <c r="Q435" s="76"/>
      <c r="S435" s="110" t="s">
        <v>277</v>
      </c>
      <c r="T435" s="12"/>
      <c r="U435" s="12" t="s">
        <v>269</v>
      </c>
      <c r="V435" s="12">
        <v>1</v>
      </c>
      <c r="W435" s="19"/>
      <c r="X435" s="111"/>
    </row>
    <row r="436" spans="1:24" ht="12.75">
      <c r="A436" s="60"/>
      <c r="B436" s="61"/>
      <c r="C436" s="62"/>
      <c r="D436" s="65"/>
      <c r="E436" s="44"/>
      <c r="F436" s="33"/>
      <c r="G436" s="42"/>
      <c r="H436" s="43"/>
      <c r="I436" s="43"/>
      <c r="J436" s="36"/>
      <c r="K436" s="37"/>
      <c r="L436" s="31"/>
      <c r="M436" s="33"/>
      <c r="N436" s="42"/>
      <c r="O436" s="36"/>
      <c r="P436" s="37"/>
      <c r="Q436" s="54"/>
      <c r="S436" s="110" t="s">
        <v>270</v>
      </c>
      <c r="T436" s="12"/>
      <c r="U436" s="12" t="s">
        <v>269</v>
      </c>
      <c r="V436" s="12" t="s">
        <v>269</v>
      </c>
      <c r="W436" s="19"/>
      <c r="X436" s="111"/>
    </row>
    <row r="437" spans="1:24" ht="12.75">
      <c r="A437" s="60"/>
      <c r="B437" s="61"/>
      <c r="C437" s="62"/>
      <c r="D437" s="65"/>
      <c r="E437" s="44"/>
      <c r="F437" s="33"/>
      <c r="G437" s="42"/>
      <c r="H437" s="43"/>
      <c r="I437" s="43"/>
      <c r="J437" s="36"/>
      <c r="K437" s="37"/>
      <c r="L437" s="31"/>
      <c r="M437" s="33"/>
      <c r="N437" s="42"/>
      <c r="O437" s="36"/>
      <c r="P437" s="37"/>
      <c r="Q437" s="54"/>
      <c r="S437" s="110" t="s">
        <v>278</v>
      </c>
      <c r="T437" s="12"/>
      <c r="U437" s="12" t="s">
        <v>269</v>
      </c>
      <c r="V437" s="12" t="s">
        <v>269</v>
      </c>
      <c r="W437" s="19"/>
      <c r="X437" s="111"/>
    </row>
    <row r="438" spans="1:24" ht="12.75">
      <c r="A438" s="60"/>
      <c r="B438" s="61"/>
      <c r="C438" s="62"/>
      <c r="D438" s="65"/>
      <c r="E438" s="44"/>
      <c r="F438" s="33"/>
      <c r="G438" s="42"/>
      <c r="H438" s="43"/>
      <c r="I438" s="43"/>
      <c r="J438" s="36"/>
      <c r="K438" s="37"/>
      <c r="L438" s="31"/>
      <c r="M438" s="33"/>
      <c r="N438" s="42"/>
      <c r="O438" s="36"/>
      <c r="P438" s="37"/>
      <c r="Q438" s="54"/>
      <c r="S438" s="110"/>
      <c r="T438" s="12"/>
      <c r="U438" s="12"/>
      <c r="V438" s="12"/>
      <c r="W438" s="19"/>
      <c r="X438" s="111"/>
    </row>
    <row r="439" spans="1:24" ht="12.75">
      <c r="A439" s="60"/>
      <c r="B439" s="61"/>
      <c r="C439" s="62"/>
      <c r="D439" s="65"/>
      <c r="E439" s="44"/>
      <c r="F439" s="33"/>
      <c r="G439" s="42"/>
      <c r="H439" s="43"/>
      <c r="I439" s="43"/>
      <c r="J439" s="36"/>
      <c r="K439" s="37"/>
      <c r="L439" s="31"/>
      <c r="M439" s="33"/>
      <c r="N439" s="42"/>
      <c r="O439" s="36"/>
      <c r="P439" s="37"/>
      <c r="Q439" s="54"/>
      <c r="S439" s="110"/>
      <c r="T439" s="12"/>
      <c r="U439" s="12"/>
      <c r="V439" s="12"/>
      <c r="W439" s="19"/>
      <c r="X439" s="111"/>
    </row>
    <row r="440" spans="1:24" ht="12.75">
      <c r="A440" s="60"/>
      <c r="B440" s="61"/>
      <c r="C440" s="62"/>
      <c r="D440" s="65"/>
      <c r="E440" s="44"/>
      <c r="F440" s="33"/>
      <c r="G440" s="42"/>
      <c r="H440" s="43"/>
      <c r="I440" s="43"/>
      <c r="J440" s="36"/>
      <c r="K440" s="37"/>
      <c r="L440" s="31"/>
      <c r="M440" s="33"/>
      <c r="N440" s="42"/>
      <c r="O440" s="36"/>
      <c r="P440" s="37"/>
      <c r="Q440" s="54"/>
      <c r="S440" s="110"/>
      <c r="T440" s="12"/>
      <c r="U440" s="12"/>
      <c r="V440" s="12"/>
      <c r="W440" s="19"/>
      <c r="X440" s="111"/>
    </row>
    <row r="441" spans="1:24" ht="12.75">
      <c r="A441" s="60"/>
      <c r="B441" s="61"/>
      <c r="C441" s="62"/>
      <c r="D441" s="65"/>
      <c r="E441" s="44"/>
      <c r="F441" s="33"/>
      <c r="G441" s="42"/>
      <c r="H441" s="43"/>
      <c r="I441" s="43"/>
      <c r="J441" s="36">
        <f>IF(+I441+H441&gt;0,I441+(H441*labour),"")</f>
      </c>
      <c r="K441" s="37">
        <f t="shared" si="11"/>
      </c>
      <c r="L441" s="31"/>
      <c r="M441" s="33"/>
      <c r="N441" s="42"/>
      <c r="O441" s="36"/>
      <c r="P441" s="37"/>
      <c r="Q441" s="54"/>
      <c r="S441" s="110"/>
      <c r="T441" s="12"/>
      <c r="U441" s="12"/>
      <c r="V441" s="12"/>
      <c r="W441" s="19"/>
      <c r="X441" s="111"/>
    </row>
    <row r="442" spans="1:24" ht="12.75">
      <c r="A442" s="60"/>
      <c r="B442" s="61"/>
      <c r="C442" s="62"/>
      <c r="D442" s="63"/>
      <c r="E442" s="46"/>
      <c r="F442" s="47"/>
      <c r="G442" s="48"/>
      <c r="H442" s="49"/>
      <c r="I442" s="49"/>
      <c r="J442" s="50"/>
      <c r="K442" s="51"/>
      <c r="L442" s="95"/>
      <c r="M442" s="16"/>
      <c r="N442" s="17"/>
      <c r="O442" s="23"/>
      <c r="P442" s="18"/>
      <c r="Q442" s="18"/>
      <c r="S442" s="123"/>
      <c r="T442" s="21"/>
      <c r="U442" s="21"/>
      <c r="V442" s="21"/>
      <c r="W442" s="20"/>
      <c r="X442" s="124"/>
    </row>
    <row r="443" spans="1:4" ht="12.75">
      <c r="A443" s="60"/>
      <c r="B443" s="61"/>
      <c r="C443" s="62"/>
      <c r="D443" s="63"/>
    </row>
    <row r="444" spans="1:4" ht="12.75">
      <c r="A444" s="60"/>
      <c r="B444" s="61"/>
      <c r="C444" s="62"/>
      <c r="D444" s="63"/>
    </row>
    <row r="445" spans="1:4" ht="12.75">
      <c r="A445" s="60"/>
      <c r="B445" s="61"/>
      <c r="C445" s="62"/>
      <c r="D445" s="63"/>
    </row>
    <row r="446" spans="1:4" ht="12.75">
      <c r="A446" s="60"/>
      <c r="B446" s="61"/>
      <c r="C446" s="62"/>
      <c r="D446" s="63"/>
    </row>
    <row r="447" spans="1:4" ht="12.75">
      <c r="A447" s="60"/>
      <c r="B447" s="61"/>
      <c r="C447" s="62"/>
      <c r="D447" s="63"/>
    </row>
    <row r="448" spans="1:4" ht="12.75">
      <c r="A448" s="60"/>
      <c r="B448" s="61"/>
      <c r="C448" s="62"/>
      <c r="D448" s="63"/>
    </row>
    <row r="449" spans="1:4" ht="12.75">
      <c r="A449" s="60"/>
      <c r="B449" s="61"/>
      <c r="C449" s="62"/>
      <c r="D449" s="63"/>
    </row>
    <row r="450" spans="1:4" ht="12.75">
      <c r="A450" s="60"/>
      <c r="B450" s="61"/>
      <c r="C450" s="62"/>
      <c r="D450" s="63"/>
    </row>
    <row r="451" spans="1:4" ht="12.75">
      <c r="A451" s="60"/>
      <c r="B451" s="61"/>
      <c r="C451" s="62"/>
      <c r="D451" s="63"/>
    </row>
    <row r="452" spans="1:4" ht="12.75">
      <c r="A452" s="60"/>
      <c r="B452" s="61"/>
      <c r="C452" s="62"/>
      <c r="D452" s="63"/>
    </row>
    <row r="453" spans="1:4" ht="12.75">
      <c r="A453" s="60"/>
      <c r="B453" s="61"/>
      <c r="C453" s="62"/>
      <c r="D453" s="63"/>
    </row>
    <row r="454" spans="1:4" ht="12.75">
      <c r="A454" s="60"/>
      <c r="B454" s="61"/>
      <c r="C454" s="62"/>
      <c r="D454" s="63"/>
    </row>
    <row r="455" spans="1:4" ht="12.75">
      <c r="A455" s="60"/>
      <c r="B455" s="61"/>
      <c r="C455" s="62"/>
      <c r="D455" s="63"/>
    </row>
    <row r="456" spans="1:4" ht="12.75">
      <c r="A456" s="60"/>
      <c r="B456" s="61"/>
      <c r="C456" s="62"/>
      <c r="D456" s="63"/>
    </row>
    <row r="457" spans="1:4" ht="12.75">
      <c r="A457" s="60"/>
      <c r="B457" s="61"/>
      <c r="C457" s="62"/>
      <c r="D457" s="63"/>
    </row>
    <row r="458" spans="1:4" ht="12.75">
      <c r="A458" s="60"/>
      <c r="B458" s="61"/>
      <c r="C458" s="62"/>
      <c r="D458" s="63"/>
    </row>
    <row r="459" spans="1:4" ht="12.75">
      <c r="A459" s="60"/>
      <c r="B459" s="61"/>
      <c r="C459" s="62"/>
      <c r="D459" s="63"/>
    </row>
    <row r="460" spans="1:4" ht="12.75">
      <c r="A460" s="60"/>
      <c r="B460" s="61"/>
      <c r="C460" s="62"/>
      <c r="D460" s="63"/>
    </row>
    <row r="461" spans="1:4" ht="12.75">
      <c r="A461" s="60"/>
      <c r="B461" s="61"/>
      <c r="C461" s="62"/>
      <c r="D461" s="63"/>
    </row>
    <row r="462" spans="1:4" ht="12.75">
      <c r="A462" s="60"/>
      <c r="B462" s="61"/>
      <c r="C462" s="62"/>
      <c r="D462" s="63"/>
    </row>
    <row r="463" spans="1:4" ht="12.75">
      <c r="A463" s="60"/>
      <c r="B463" s="61"/>
      <c r="C463" s="62"/>
      <c r="D463" s="63"/>
    </row>
    <row r="464" spans="1:4" ht="12.75">
      <c r="A464" s="60"/>
      <c r="B464" s="61"/>
      <c r="C464" s="62"/>
      <c r="D464" s="63"/>
    </row>
    <row r="465" spans="1:4" ht="12.75">
      <c r="A465" s="60"/>
      <c r="B465" s="61"/>
      <c r="C465" s="62"/>
      <c r="D465" s="63"/>
    </row>
    <row r="466" spans="1:4" ht="12.75">
      <c r="A466" s="60"/>
      <c r="B466" s="61"/>
      <c r="C466" s="62"/>
      <c r="D466" s="63"/>
    </row>
    <row r="467" spans="1:4" ht="12.75">
      <c r="A467" s="60"/>
      <c r="B467" s="61"/>
      <c r="C467" s="62"/>
      <c r="D467" s="63"/>
    </row>
    <row r="468" spans="1:4" ht="12.75">
      <c r="A468" s="60"/>
      <c r="B468" s="61"/>
      <c r="C468" s="62"/>
      <c r="D468" s="63"/>
    </row>
    <row r="469" spans="1:4" ht="12.75">
      <c r="A469" s="60"/>
      <c r="B469" s="61"/>
      <c r="C469" s="62"/>
      <c r="D469" s="63"/>
    </row>
    <row r="470" spans="1:4" ht="12.75">
      <c r="A470" s="60"/>
      <c r="B470" s="61"/>
      <c r="C470" s="62"/>
      <c r="D470" s="63"/>
    </row>
    <row r="471" spans="1:4" ht="12.75">
      <c r="A471" s="60"/>
      <c r="B471" s="61"/>
      <c r="C471" s="62"/>
      <c r="D471" s="63"/>
    </row>
    <row r="472" spans="1:4" ht="12.75">
      <c r="A472" s="60"/>
      <c r="B472" s="61"/>
      <c r="C472" s="62"/>
      <c r="D472" s="63"/>
    </row>
    <row r="473" spans="1:4" ht="12.75">
      <c r="A473" s="60"/>
      <c r="B473" s="61"/>
      <c r="C473" s="62"/>
      <c r="D473" s="63"/>
    </row>
    <row r="474" spans="1:4" ht="12.75">
      <c r="A474" s="60"/>
      <c r="B474" s="61"/>
      <c r="C474" s="62"/>
      <c r="D474" s="63"/>
    </row>
    <row r="475" spans="1:4" ht="12.75">
      <c r="A475" s="60"/>
      <c r="B475" s="61"/>
      <c r="C475" s="62"/>
      <c r="D475" s="63"/>
    </row>
    <row r="476" spans="1:4" ht="12.75">
      <c r="A476" s="60"/>
      <c r="B476" s="61"/>
      <c r="C476" s="62"/>
      <c r="D476" s="63"/>
    </row>
    <row r="477" spans="1:4" ht="12.75">
      <c r="A477" s="60"/>
      <c r="B477" s="61"/>
      <c r="C477" s="62"/>
      <c r="D477" s="63"/>
    </row>
    <row r="478" spans="1:4" ht="12.75">
      <c r="A478" s="60"/>
      <c r="B478" s="61"/>
      <c r="C478" s="62"/>
      <c r="D478" s="63"/>
    </row>
    <row r="479" spans="1:4" ht="12.75">
      <c r="A479" s="60"/>
      <c r="B479" s="61"/>
      <c r="C479" s="62"/>
      <c r="D479" s="63"/>
    </row>
    <row r="480" spans="1:4" ht="12.75">
      <c r="A480" s="60"/>
      <c r="B480" s="61"/>
      <c r="C480" s="62"/>
      <c r="D480" s="63"/>
    </row>
    <row r="481" spans="1:4" ht="12.75">
      <c r="A481" s="60"/>
      <c r="B481" s="61"/>
      <c r="C481" s="62"/>
      <c r="D481" s="63"/>
    </row>
    <row r="482" spans="1:4" ht="12.75">
      <c r="A482" s="60"/>
      <c r="B482" s="61"/>
      <c r="C482" s="62"/>
      <c r="D482" s="63"/>
    </row>
    <row r="483" spans="1:4" ht="12.75">
      <c r="A483" s="60"/>
      <c r="B483" s="61"/>
      <c r="C483" s="62"/>
      <c r="D483" s="63"/>
    </row>
    <row r="484" spans="1:4" ht="12.75">
      <c r="A484" s="60"/>
      <c r="B484" s="61"/>
      <c r="C484" s="62"/>
      <c r="D484" s="63"/>
    </row>
    <row r="485" spans="1:4" ht="12.75">
      <c r="A485" s="60"/>
      <c r="B485" s="61"/>
      <c r="C485" s="62"/>
      <c r="D485" s="63"/>
    </row>
    <row r="486" spans="1:4" ht="12.75">
      <c r="A486" s="60"/>
      <c r="B486" s="61"/>
      <c r="C486" s="62"/>
      <c r="D486" s="63"/>
    </row>
    <row r="487" spans="1:4" ht="12.75">
      <c r="A487" s="60"/>
      <c r="B487" s="61"/>
      <c r="C487" s="62"/>
      <c r="D487" s="63"/>
    </row>
    <row r="488" spans="1:4" ht="12.75">
      <c r="A488" s="60"/>
      <c r="B488" s="61"/>
      <c r="C488" s="62"/>
      <c r="D488" s="63"/>
    </row>
    <row r="489" spans="1:4" ht="12.75">
      <c r="A489" s="60"/>
      <c r="B489" s="61"/>
      <c r="C489" s="62"/>
      <c r="D489" s="63"/>
    </row>
    <row r="490" spans="1:4" ht="12.75">
      <c r="A490" s="60"/>
      <c r="B490" s="61"/>
      <c r="C490" s="62"/>
      <c r="D490" s="63"/>
    </row>
    <row r="491" spans="1:4" ht="12.75">
      <c r="A491" s="60"/>
      <c r="B491" s="61"/>
      <c r="C491" s="62"/>
      <c r="D491" s="63"/>
    </row>
    <row r="492" spans="1:4" ht="12.75">
      <c r="A492" s="60"/>
      <c r="B492" s="61"/>
      <c r="C492" s="62"/>
      <c r="D492" s="63"/>
    </row>
    <row r="493" spans="1:4" ht="12.75">
      <c r="A493" s="60"/>
      <c r="B493" s="61"/>
      <c r="C493" s="62"/>
      <c r="D493" s="63"/>
    </row>
    <row r="494" spans="1:4" ht="12.75">
      <c r="A494" s="60"/>
      <c r="B494" s="61"/>
      <c r="C494" s="62"/>
      <c r="D494" s="63"/>
    </row>
    <row r="495" spans="1:4" ht="12.75">
      <c r="A495" s="60"/>
      <c r="B495" s="61"/>
      <c r="C495" s="62"/>
      <c r="D495" s="63"/>
    </row>
    <row r="496" spans="1:4" ht="12.75">
      <c r="A496" s="60"/>
      <c r="B496" s="61"/>
      <c r="C496" s="62"/>
      <c r="D496" s="63"/>
    </row>
    <row r="497" spans="1:4" ht="12.75">
      <c r="A497" s="60"/>
      <c r="B497" s="61"/>
      <c r="C497" s="62"/>
      <c r="D497" s="63"/>
    </row>
    <row r="498" spans="1:4" ht="12.75">
      <c r="A498" s="60"/>
      <c r="B498" s="61"/>
      <c r="C498" s="62"/>
      <c r="D498" s="63"/>
    </row>
    <row r="499" spans="1:4" ht="12.75">
      <c r="A499" s="60"/>
      <c r="B499" s="61"/>
      <c r="C499" s="62"/>
      <c r="D499" s="63"/>
    </row>
    <row r="500" spans="1:4" ht="12.75">
      <c r="A500" s="60"/>
      <c r="B500" s="61"/>
      <c r="C500" s="62"/>
      <c r="D500" s="63"/>
    </row>
    <row r="501" spans="1:4" ht="12.75">
      <c r="A501" s="60"/>
      <c r="B501" s="61"/>
      <c r="C501" s="62"/>
      <c r="D501" s="63"/>
    </row>
    <row r="502" spans="1:4" ht="12.75">
      <c r="A502" s="60"/>
      <c r="B502" s="61"/>
      <c r="C502" s="62"/>
      <c r="D502" s="63"/>
    </row>
    <row r="503" spans="1:4" ht="12.75">
      <c r="A503" s="60"/>
      <c r="B503" s="61"/>
      <c r="C503" s="62"/>
      <c r="D503" s="63"/>
    </row>
    <row r="504" spans="1:4" ht="12.75">
      <c r="A504" s="60"/>
      <c r="B504" s="61"/>
      <c r="C504" s="62"/>
      <c r="D504" s="63"/>
    </row>
    <row r="505" spans="1:4" ht="12.75">
      <c r="A505" s="60"/>
      <c r="B505" s="61"/>
      <c r="C505" s="62"/>
      <c r="D505" s="63"/>
    </row>
    <row r="506" spans="1:4" ht="12.75">
      <c r="A506" s="60"/>
      <c r="B506" s="61"/>
      <c r="C506" s="62"/>
      <c r="D506" s="63"/>
    </row>
    <row r="507" spans="1:4" ht="12.75">
      <c r="A507" s="60"/>
      <c r="B507" s="61"/>
      <c r="C507" s="62"/>
      <c r="D507" s="63"/>
    </row>
    <row r="508" spans="1:4" ht="12.75">
      <c r="A508" s="60"/>
      <c r="B508" s="61"/>
      <c r="C508" s="62"/>
      <c r="D508" s="63"/>
    </row>
    <row r="509" spans="1:4" ht="12.75">
      <c r="A509" s="60"/>
      <c r="B509" s="61"/>
      <c r="C509" s="62"/>
      <c r="D509" s="63"/>
    </row>
    <row r="510" spans="1:4" ht="12.75">
      <c r="A510" s="60"/>
      <c r="B510" s="61"/>
      <c r="C510" s="62"/>
      <c r="D510" s="63"/>
    </row>
    <row r="511" spans="1:4" ht="12.75">
      <c r="A511" s="60"/>
      <c r="B511" s="61"/>
      <c r="C511" s="62"/>
      <c r="D511" s="63"/>
    </row>
    <row r="512" spans="1:4" ht="12.75">
      <c r="A512" s="60"/>
      <c r="B512" s="61"/>
      <c r="C512" s="62"/>
      <c r="D512" s="63"/>
    </row>
    <row r="513" spans="1:4" ht="12.75">
      <c r="A513" s="60"/>
      <c r="B513" s="61"/>
      <c r="C513" s="62"/>
      <c r="D513" s="63"/>
    </row>
    <row r="514" spans="1:4" ht="12.75">
      <c r="A514" s="60"/>
      <c r="B514" s="61"/>
      <c r="C514" s="62"/>
      <c r="D514" s="63"/>
    </row>
    <row r="515" spans="1:4" ht="12.75">
      <c r="A515" s="60"/>
      <c r="B515" s="61"/>
      <c r="C515" s="62"/>
      <c r="D515" s="63"/>
    </row>
    <row r="516" spans="1:4" ht="12.75">
      <c r="A516" s="60"/>
      <c r="B516" s="61"/>
      <c r="C516" s="62"/>
      <c r="D516" s="63"/>
    </row>
    <row r="517" spans="1:4" ht="12.75">
      <c r="A517" s="60"/>
      <c r="B517" s="61"/>
      <c r="C517" s="62"/>
      <c r="D517" s="63"/>
    </row>
    <row r="518" spans="1:4" ht="12.75">
      <c r="A518" s="60"/>
      <c r="B518" s="61"/>
      <c r="C518" s="62"/>
      <c r="D518" s="63"/>
    </row>
    <row r="519" spans="1:4" ht="12.75">
      <c r="A519" s="60"/>
      <c r="B519" s="61"/>
      <c r="C519" s="62"/>
      <c r="D519" s="63"/>
    </row>
    <row r="520" spans="1:4" ht="12.75">
      <c r="A520" s="60"/>
      <c r="B520" s="61"/>
      <c r="C520" s="62"/>
      <c r="D520" s="63"/>
    </row>
    <row r="521" spans="1:4" ht="12.75">
      <c r="A521" s="60"/>
      <c r="B521" s="61"/>
      <c r="C521" s="62"/>
      <c r="D521" s="63"/>
    </row>
    <row r="522" spans="1:4" ht="12.75">
      <c r="A522" s="60"/>
      <c r="B522" s="61"/>
      <c r="C522" s="62"/>
      <c r="D522" s="63"/>
    </row>
    <row r="523" spans="1:4" ht="12.75">
      <c r="A523" s="60"/>
      <c r="B523" s="61"/>
      <c r="C523" s="62"/>
      <c r="D523" s="63"/>
    </row>
    <row r="524" spans="1:4" ht="12.75">
      <c r="A524" s="60"/>
      <c r="B524" s="61"/>
      <c r="C524" s="62"/>
      <c r="D524" s="63"/>
    </row>
    <row r="525" spans="1:4" ht="12.75">
      <c r="A525" s="60"/>
      <c r="B525" s="61"/>
      <c r="C525" s="62"/>
      <c r="D525" s="63"/>
    </row>
    <row r="526" spans="1:4" ht="12.75">
      <c r="A526" s="60"/>
      <c r="B526" s="61"/>
      <c r="C526" s="62"/>
      <c r="D526" s="63"/>
    </row>
    <row r="527" spans="1:4" ht="12.75">
      <c r="A527" s="60"/>
      <c r="B527" s="61"/>
      <c r="C527" s="62"/>
      <c r="D527" s="63"/>
    </row>
    <row r="528" spans="1:4" ht="12.75">
      <c r="A528" s="60"/>
      <c r="B528" s="61"/>
      <c r="C528" s="62"/>
      <c r="D528" s="63"/>
    </row>
    <row r="529" spans="1:4" ht="12.75">
      <c r="A529" s="60"/>
      <c r="B529" s="61"/>
      <c r="C529" s="62"/>
      <c r="D529" s="63"/>
    </row>
    <row r="530" spans="1:4" ht="12.75">
      <c r="A530" s="60"/>
      <c r="B530" s="61"/>
      <c r="C530" s="62"/>
      <c r="D530" s="63"/>
    </row>
    <row r="531" spans="1:4" ht="12.75">
      <c r="A531" s="60"/>
      <c r="B531" s="61"/>
      <c r="C531" s="62"/>
      <c r="D531" s="63"/>
    </row>
    <row r="532" spans="1:4" ht="12.75">
      <c r="A532" s="60"/>
      <c r="B532" s="61"/>
      <c r="C532" s="62"/>
      <c r="D532" s="63"/>
    </row>
    <row r="533" spans="1:4" ht="12.75">
      <c r="A533" s="60"/>
      <c r="B533" s="61"/>
      <c r="C533" s="62"/>
      <c r="D533" s="63"/>
    </row>
    <row r="534" spans="1:4" ht="12.75">
      <c r="A534" s="60"/>
      <c r="B534" s="61"/>
      <c r="C534" s="62"/>
      <c r="D534" s="63"/>
    </row>
    <row r="535" spans="1:4" ht="12.75">
      <c r="A535" s="60"/>
      <c r="B535" s="61"/>
      <c r="C535" s="62"/>
      <c r="D535" s="63"/>
    </row>
    <row r="536" spans="1:4" ht="12.75">
      <c r="A536" s="60"/>
      <c r="B536" s="61"/>
      <c r="C536" s="62"/>
      <c r="D536" s="63"/>
    </row>
    <row r="537" spans="1:4" ht="12.75">
      <c r="A537" s="60"/>
      <c r="B537" s="61"/>
      <c r="C537" s="62"/>
      <c r="D537" s="63"/>
    </row>
    <row r="538" spans="1:4" ht="12.75">
      <c r="A538" s="60"/>
      <c r="B538" s="61"/>
      <c r="C538" s="62"/>
      <c r="D538" s="63"/>
    </row>
    <row r="539" spans="1:4" ht="12.75">
      <c r="A539" s="60"/>
      <c r="B539" s="61"/>
      <c r="C539" s="62"/>
      <c r="D539" s="63"/>
    </row>
    <row r="540" spans="1:4" ht="12.75">
      <c r="A540" s="60"/>
      <c r="B540" s="61"/>
      <c r="C540" s="62"/>
      <c r="D540" s="63"/>
    </row>
    <row r="541" spans="1:4" ht="12.75">
      <c r="A541" s="60"/>
      <c r="B541" s="61"/>
      <c r="C541" s="62"/>
      <c r="D541" s="63"/>
    </row>
    <row r="542" spans="1:4" ht="12.75">
      <c r="A542" s="60"/>
      <c r="B542" s="61"/>
      <c r="C542" s="62"/>
      <c r="D542" s="63"/>
    </row>
    <row r="543" spans="1:4" ht="12.75">
      <c r="A543" s="60"/>
      <c r="B543" s="61"/>
      <c r="C543" s="62"/>
      <c r="D543" s="63"/>
    </row>
    <row r="544" spans="1:4" ht="12.75">
      <c r="A544" s="60"/>
      <c r="B544" s="61"/>
      <c r="C544" s="62"/>
      <c r="D544" s="63"/>
    </row>
    <row r="545" spans="1:4" ht="12.75">
      <c r="A545" s="60"/>
      <c r="B545" s="61"/>
      <c r="C545" s="62"/>
      <c r="D545" s="63"/>
    </row>
    <row r="546" spans="1:4" ht="12.75">
      <c r="A546" s="60"/>
      <c r="B546" s="61"/>
      <c r="C546" s="62"/>
      <c r="D546" s="63"/>
    </row>
    <row r="547" spans="1:4" ht="12.75">
      <c r="A547" s="60"/>
      <c r="B547" s="61"/>
      <c r="C547" s="62"/>
      <c r="D547" s="63"/>
    </row>
    <row r="548" spans="1:4" ht="12.75">
      <c r="A548" s="60"/>
      <c r="B548" s="61"/>
      <c r="C548" s="62"/>
      <c r="D548" s="63"/>
    </row>
    <row r="549" spans="1:4" ht="12.75">
      <c r="A549" s="60"/>
      <c r="B549" s="61"/>
      <c r="C549" s="62"/>
      <c r="D549" s="63"/>
    </row>
    <row r="550" spans="1:4" ht="12.75">
      <c r="A550" s="60"/>
      <c r="B550" s="61"/>
      <c r="C550" s="62"/>
      <c r="D550" s="63"/>
    </row>
    <row r="551" spans="1:4" ht="12.75">
      <c r="A551" s="60"/>
      <c r="B551" s="61"/>
      <c r="C551" s="62"/>
      <c r="D551" s="63"/>
    </row>
    <row r="552" spans="1:4" ht="12.75">
      <c r="A552" s="60"/>
      <c r="B552" s="61"/>
      <c r="C552" s="62"/>
      <c r="D552" s="63"/>
    </row>
    <row r="553" spans="1:4" ht="12.75">
      <c r="A553" s="60"/>
      <c r="B553" s="61"/>
      <c r="C553" s="62"/>
      <c r="D553" s="63"/>
    </row>
    <row r="554" spans="1:4" ht="12.75">
      <c r="A554" s="60"/>
      <c r="B554" s="61"/>
      <c r="C554" s="62"/>
      <c r="D554" s="63"/>
    </row>
    <row r="555" spans="1:4" ht="12.75">
      <c r="A555" s="60"/>
      <c r="B555" s="61"/>
      <c r="C555" s="62"/>
      <c r="D555" s="63"/>
    </row>
    <row r="556" spans="1:4" ht="12.75">
      <c r="A556" s="60"/>
      <c r="B556" s="61"/>
      <c r="C556" s="62"/>
      <c r="D556" s="63"/>
    </row>
    <row r="557" spans="1:4" ht="12.75">
      <c r="A557" s="60"/>
      <c r="B557" s="61"/>
      <c r="C557" s="62"/>
      <c r="D557" s="63"/>
    </row>
    <row r="558" spans="1:4" ht="12.75">
      <c r="A558" s="60"/>
      <c r="B558" s="61"/>
      <c r="C558" s="62"/>
      <c r="D558" s="63"/>
    </row>
    <row r="559" spans="1:4" ht="12.75">
      <c r="A559" s="60"/>
      <c r="B559" s="61"/>
      <c r="C559" s="62"/>
      <c r="D559" s="63"/>
    </row>
    <row r="560" spans="1:4" ht="12.75">
      <c r="A560" s="60"/>
      <c r="B560" s="61"/>
      <c r="C560" s="62"/>
      <c r="D560" s="63"/>
    </row>
    <row r="561" spans="1:4" ht="12.75">
      <c r="A561" s="60"/>
      <c r="B561" s="61"/>
      <c r="C561" s="62"/>
      <c r="D561" s="63"/>
    </row>
    <row r="562" spans="1:4" ht="12.75">
      <c r="A562" s="60"/>
      <c r="B562" s="61"/>
      <c r="C562" s="62"/>
      <c r="D562" s="63"/>
    </row>
    <row r="563" spans="1:4" ht="12.75">
      <c r="A563" s="60"/>
      <c r="B563" s="61"/>
      <c r="C563" s="62"/>
      <c r="D563" s="63"/>
    </row>
    <row r="564" spans="1:4" ht="12.75">
      <c r="A564" s="60"/>
      <c r="B564" s="61"/>
      <c r="C564" s="62"/>
      <c r="D564" s="63"/>
    </row>
    <row r="565" spans="1:4" ht="12.75">
      <c r="A565" s="60"/>
      <c r="B565" s="61"/>
      <c r="C565" s="62"/>
      <c r="D565" s="63"/>
    </row>
    <row r="566" spans="1:4" ht="12.75">
      <c r="A566" s="60"/>
      <c r="B566" s="61"/>
      <c r="C566" s="62"/>
      <c r="D566" s="63"/>
    </row>
    <row r="567" spans="1:4" ht="12.75">
      <c r="A567" s="60"/>
      <c r="B567" s="61"/>
      <c r="C567" s="62"/>
      <c r="D567" s="63"/>
    </row>
    <row r="568" spans="1:4" ht="12.75">
      <c r="A568" s="60"/>
      <c r="B568" s="61"/>
      <c r="C568" s="62"/>
      <c r="D568" s="63"/>
    </row>
    <row r="569" spans="1:4" ht="12.75">
      <c r="A569" s="60"/>
      <c r="B569" s="61"/>
      <c r="C569" s="62"/>
      <c r="D569" s="63"/>
    </row>
    <row r="570" spans="1:4" ht="12.75">
      <c r="A570" s="60"/>
      <c r="B570" s="61"/>
      <c r="C570" s="62"/>
      <c r="D570" s="63"/>
    </row>
    <row r="571" spans="1:4" ht="12.75">
      <c r="A571" s="60"/>
      <c r="B571" s="61"/>
      <c r="C571" s="62"/>
      <c r="D571" s="63"/>
    </row>
    <row r="572" spans="1:4" ht="12.75">
      <c r="A572" s="60"/>
      <c r="B572" s="61"/>
      <c r="C572" s="62"/>
      <c r="D572" s="63"/>
    </row>
    <row r="573" spans="1:4" ht="12.75">
      <c r="A573" s="60"/>
      <c r="B573" s="61"/>
      <c r="C573" s="62"/>
      <c r="D573" s="63"/>
    </row>
    <row r="574" spans="1:4" ht="12.75">
      <c r="A574" s="60"/>
      <c r="B574" s="61"/>
      <c r="C574" s="62"/>
      <c r="D574" s="63"/>
    </row>
    <row r="575" spans="1:4" ht="12.75">
      <c r="A575" s="60"/>
      <c r="B575" s="61"/>
      <c r="C575" s="62"/>
      <c r="D575" s="63"/>
    </row>
    <row r="576" spans="1:4" ht="12.75">
      <c r="A576" s="60"/>
      <c r="B576" s="61"/>
      <c r="C576" s="62"/>
      <c r="D576" s="63"/>
    </row>
    <row r="577" spans="1:4" ht="12.75">
      <c r="A577" s="60"/>
      <c r="B577" s="61"/>
      <c r="C577" s="62"/>
      <c r="D577" s="63"/>
    </row>
    <row r="578" spans="1:4" ht="12.75">
      <c r="A578" s="60"/>
      <c r="B578" s="61"/>
      <c r="C578" s="62"/>
      <c r="D578" s="63"/>
    </row>
    <row r="579" spans="1:4" ht="12.75">
      <c r="A579" s="60"/>
      <c r="B579" s="61"/>
      <c r="C579" s="62"/>
      <c r="D579" s="63"/>
    </row>
    <row r="580" spans="1:4" ht="12.75">
      <c r="A580" s="60"/>
      <c r="B580" s="61"/>
      <c r="C580" s="62"/>
      <c r="D580" s="63"/>
    </row>
    <row r="581" spans="1:4" ht="12.75">
      <c r="A581" s="60"/>
      <c r="B581" s="61"/>
      <c r="C581" s="62"/>
      <c r="D581" s="63"/>
    </row>
    <row r="582" spans="1:4" ht="12.75">
      <c r="A582" s="60"/>
      <c r="B582" s="61"/>
      <c r="C582" s="62"/>
      <c r="D582" s="63"/>
    </row>
    <row r="583" spans="1:4" ht="12.75">
      <c r="A583" s="60"/>
      <c r="B583" s="61"/>
      <c r="C583" s="62"/>
      <c r="D583" s="63"/>
    </row>
    <row r="584" spans="1:4" ht="12.75">
      <c r="A584" s="60"/>
      <c r="B584" s="61"/>
      <c r="C584" s="62"/>
      <c r="D584" s="63"/>
    </row>
    <row r="585" spans="1:4" ht="12.75">
      <c r="A585" s="60"/>
      <c r="B585" s="61"/>
      <c r="C585" s="62"/>
      <c r="D585" s="63"/>
    </row>
    <row r="586" spans="1:4" ht="12.75">
      <c r="A586" s="60"/>
      <c r="B586" s="61"/>
      <c r="C586" s="62"/>
      <c r="D586" s="63"/>
    </row>
    <row r="587" spans="1:4" ht="12.75">
      <c r="A587" s="60"/>
      <c r="B587" s="61"/>
      <c r="C587" s="62"/>
      <c r="D587" s="63"/>
    </row>
    <row r="588" spans="1:4" ht="12.75">
      <c r="A588" s="60"/>
      <c r="B588" s="61"/>
      <c r="C588" s="62"/>
      <c r="D588" s="63"/>
    </row>
    <row r="589" spans="1:4" ht="12.75">
      <c r="A589" s="60"/>
      <c r="B589" s="61"/>
      <c r="C589" s="62"/>
      <c r="D589" s="63"/>
    </row>
    <row r="590" spans="1:4" ht="12.75">
      <c r="A590" s="60"/>
      <c r="B590" s="61"/>
      <c r="C590" s="62"/>
      <c r="D590" s="63"/>
    </row>
    <row r="591" spans="1:4" ht="12.75">
      <c r="A591" s="60"/>
      <c r="B591" s="61"/>
      <c r="C591" s="62"/>
      <c r="D591" s="63"/>
    </row>
    <row r="592" spans="1:4" ht="12.75">
      <c r="A592" s="60"/>
      <c r="B592" s="61"/>
      <c r="C592" s="62"/>
      <c r="D592" s="63"/>
    </row>
    <row r="593" spans="1:4" ht="12.75">
      <c r="A593" s="60"/>
      <c r="B593" s="61"/>
      <c r="C593" s="62"/>
      <c r="D593" s="63"/>
    </row>
    <row r="594" spans="1:4" ht="12.75">
      <c r="A594" s="60"/>
      <c r="B594" s="61"/>
      <c r="C594" s="62"/>
      <c r="D594" s="63"/>
    </row>
    <row r="595" spans="1:4" ht="12.75">
      <c r="A595" s="60"/>
      <c r="B595" s="61"/>
      <c r="C595" s="62"/>
      <c r="D595" s="63"/>
    </row>
    <row r="596" spans="1:4" ht="12.75">
      <c r="A596" s="60"/>
      <c r="B596" s="61"/>
      <c r="C596" s="62"/>
      <c r="D596" s="63"/>
    </row>
    <row r="597" spans="1:4" ht="12.75">
      <c r="A597" s="60"/>
      <c r="B597" s="61"/>
      <c r="C597" s="62"/>
      <c r="D597" s="63"/>
    </row>
    <row r="598" spans="1:4" ht="12.75">
      <c r="A598" s="60"/>
      <c r="B598" s="61"/>
      <c r="C598" s="62"/>
      <c r="D598" s="63"/>
    </row>
    <row r="599" spans="1:4" ht="12.75">
      <c r="A599" s="60"/>
      <c r="B599" s="61"/>
      <c r="C599" s="62"/>
      <c r="D599" s="63"/>
    </row>
    <row r="600" spans="1:4" ht="12.75">
      <c r="A600" s="60"/>
      <c r="B600" s="61"/>
      <c r="C600" s="62"/>
      <c r="D600" s="63"/>
    </row>
    <row r="601" spans="1:4" ht="12.75">
      <c r="A601" s="60"/>
      <c r="B601" s="61"/>
      <c r="C601" s="62"/>
      <c r="D601" s="63"/>
    </row>
    <row r="602" spans="1:4" ht="12.75">
      <c r="A602" s="60"/>
      <c r="B602" s="61"/>
      <c r="C602" s="62"/>
      <c r="D602" s="63"/>
    </row>
    <row r="603" spans="1:4" ht="12.75">
      <c r="A603" s="60"/>
      <c r="B603" s="61"/>
      <c r="C603" s="62"/>
      <c r="D603" s="63"/>
    </row>
    <row r="604" spans="1:4" ht="12.75">
      <c r="A604" s="60"/>
      <c r="B604" s="61"/>
      <c r="C604" s="62"/>
      <c r="D604" s="63"/>
    </row>
    <row r="605" spans="1:4" ht="12.75">
      <c r="A605" s="60"/>
      <c r="B605" s="61"/>
      <c r="C605" s="62"/>
      <c r="D605" s="63"/>
    </row>
    <row r="606" spans="1:4" ht="12.75">
      <c r="A606" s="60"/>
      <c r="B606" s="61"/>
      <c r="C606" s="62"/>
      <c r="D606" s="63"/>
    </row>
    <row r="607" spans="1:4" ht="12.75">
      <c r="A607" s="60"/>
      <c r="B607" s="61"/>
      <c r="C607" s="62"/>
      <c r="D607" s="63"/>
    </row>
    <row r="608" spans="1:4" ht="12.75">
      <c r="A608" s="60"/>
      <c r="B608" s="61"/>
      <c r="C608" s="62"/>
      <c r="D608" s="63"/>
    </row>
    <row r="609" spans="1:4" ht="12.75">
      <c r="A609" s="60"/>
      <c r="B609" s="61"/>
      <c r="C609" s="62"/>
      <c r="D609" s="63"/>
    </row>
    <row r="610" spans="1:4" ht="12.75">
      <c r="A610" s="60"/>
      <c r="B610" s="61"/>
      <c r="C610" s="62"/>
      <c r="D610" s="63"/>
    </row>
    <row r="611" spans="1:4" ht="12.75">
      <c r="A611" s="60"/>
      <c r="B611" s="61"/>
      <c r="C611" s="62"/>
      <c r="D611" s="63"/>
    </row>
    <row r="612" spans="1:4" ht="12.75">
      <c r="A612" s="60"/>
      <c r="B612" s="61"/>
      <c r="C612" s="62"/>
      <c r="D612" s="63"/>
    </row>
    <row r="613" spans="1:4" ht="12.75">
      <c r="A613" s="60"/>
      <c r="B613" s="61"/>
      <c r="C613" s="62"/>
      <c r="D613" s="63"/>
    </row>
    <row r="614" spans="1:4" ht="12.75">
      <c r="A614" s="60"/>
      <c r="B614" s="61"/>
      <c r="C614" s="62"/>
      <c r="D614" s="63"/>
    </row>
    <row r="615" spans="1:4" ht="12.75">
      <c r="A615" s="60"/>
      <c r="B615" s="61"/>
      <c r="C615" s="62"/>
      <c r="D615" s="63"/>
    </row>
    <row r="616" spans="1:4" ht="12.75">
      <c r="A616" s="60"/>
      <c r="B616" s="61"/>
      <c r="C616" s="62"/>
      <c r="D616" s="63"/>
    </row>
    <row r="617" spans="1:4" ht="12.75">
      <c r="A617" s="60"/>
      <c r="B617" s="61"/>
      <c r="C617" s="62"/>
      <c r="D617" s="63"/>
    </row>
    <row r="618" spans="1:4" ht="12.75">
      <c r="A618" s="60"/>
      <c r="B618" s="61"/>
      <c r="C618" s="62"/>
      <c r="D618" s="63"/>
    </row>
    <row r="619" spans="1:4" ht="12.75">
      <c r="A619" s="60"/>
      <c r="B619" s="61"/>
      <c r="C619" s="62"/>
      <c r="D619" s="63"/>
    </row>
    <row r="620" spans="1:4" ht="12.75">
      <c r="A620" s="60"/>
      <c r="B620" s="61"/>
      <c r="C620" s="62"/>
      <c r="D620" s="63"/>
    </row>
    <row r="621" spans="1:4" ht="12.75">
      <c r="A621" s="60"/>
      <c r="B621" s="61"/>
      <c r="C621" s="62"/>
      <c r="D621" s="63"/>
    </row>
    <row r="622" spans="1:4" ht="12.75">
      <c r="A622" s="60"/>
      <c r="B622" s="61"/>
      <c r="C622" s="62"/>
      <c r="D622" s="63"/>
    </row>
    <row r="623" spans="1:4" ht="12.75">
      <c r="A623" s="60"/>
      <c r="B623" s="61"/>
      <c r="C623" s="62"/>
      <c r="D623" s="63"/>
    </row>
    <row r="624" spans="1:4" ht="12.75">
      <c r="A624" s="60"/>
      <c r="B624" s="61"/>
      <c r="C624" s="62"/>
      <c r="D624" s="63"/>
    </row>
    <row r="625" spans="1:4" ht="12.75">
      <c r="A625" s="60"/>
      <c r="B625" s="61"/>
      <c r="C625" s="62"/>
      <c r="D625" s="63"/>
    </row>
    <row r="626" spans="1:4" ht="12.75">
      <c r="A626" s="60"/>
      <c r="B626" s="61"/>
      <c r="C626" s="62"/>
      <c r="D626" s="63"/>
    </row>
    <row r="627" spans="1:4" ht="12.75">
      <c r="A627" s="60"/>
      <c r="B627" s="61"/>
      <c r="C627" s="62"/>
      <c r="D627" s="63"/>
    </row>
    <row r="628" spans="1:4" ht="12.75">
      <c r="A628" s="60"/>
      <c r="B628" s="61"/>
      <c r="C628" s="62"/>
      <c r="D628" s="63"/>
    </row>
    <row r="629" spans="1:4" ht="12.75">
      <c r="A629" s="60"/>
      <c r="B629" s="61"/>
      <c r="C629" s="62"/>
      <c r="D629" s="63"/>
    </row>
    <row r="630" spans="1:4" ht="12.75">
      <c r="A630" s="60"/>
      <c r="B630" s="61"/>
      <c r="C630" s="62"/>
      <c r="D630" s="63"/>
    </row>
    <row r="631" spans="1:4" ht="12.75">
      <c r="A631" s="60"/>
      <c r="B631" s="61"/>
      <c r="C631" s="62"/>
      <c r="D631" s="63"/>
    </row>
    <row r="632" spans="1:4" ht="12.75">
      <c r="A632" s="60"/>
      <c r="B632" s="61"/>
      <c r="C632" s="62"/>
      <c r="D632" s="63"/>
    </row>
    <row r="633" spans="1:4" ht="12.75">
      <c r="A633" s="60"/>
      <c r="B633" s="61"/>
      <c r="C633" s="62"/>
      <c r="D633" s="63"/>
    </row>
    <row r="634" spans="1:4" ht="12.75">
      <c r="A634" s="60"/>
      <c r="B634" s="61"/>
      <c r="C634" s="62"/>
      <c r="D634" s="63"/>
    </row>
    <row r="635" spans="1:4" ht="12.75">
      <c r="A635" s="60"/>
      <c r="B635" s="61"/>
      <c r="C635" s="62"/>
      <c r="D635" s="63"/>
    </row>
    <row r="636" spans="1:4" ht="12.75">
      <c r="A636" s="60"/>
      <c r="B636" s="61"/>
      <c r="C636" s="62"/>
      <c r="D636" s="63"/>
    </row>
    <row r="637" spans="1:4" ht="12.75">
      <c r="A637" s="60"/>
      <c r="B637" s="61"/>
      <c r="C637" s="62"/>
      <c r="D637" s="63"/>
    </row>
    <row r="638" spans="1:4" ht="12.75">
      <c r="A638" s="60"/>
      <c r="B638" s="61"/>
      <c r="C638" s="62"/>
      <c r="D638" s="63"/>
    </row>
    <row r="639" spans="1:4" ht="12.75">
      <c r="A639" s="60"/>
      <c r="B639" s="61"/>
      <c r="C639" s="62"/>
      <c r="D639" s="63"/>
    </row>
    <row r="640" spans="1:4" ht="12.75">
      <c r="A640" s="60"/>
      <c r="B640" s="61"/>
      <c r="C640" s="62"/>
      <c r="D640" s="63"/>
    </row>
    <row r="641" spans="1:4" ht="12.75">
      <c r="A641" s="60"/>
      <c r="B641" s="61"/>
      <c r="C641" s="62"/>
      <c r="D641" s="63"/>
    </row>
    <row r="642" spans="1:4" ht="12.75">
      <c r="A642" s="60"/>
      <c r="B642" s="61"/>
      <c r="C642" s="62"/>
      <c r="D642" s="63"/>
    </row>
    <row r="643" spans="1:4" ht="12.75">
      <c r="A643" s="60"/>
      <c r="B643" s="61"/>
      <c r="C643" s="62"/>
      <c r="D643" s="63"/>
    </row>
    <row r="644" spans="1:4" ht="12.75">
      <c r="A644" s="60"/>
      <c r="B644" s="61"/>
      <c r="C644" s="62"/>
      <c r="D644" s="63"/>
    </row>
    <row r="645" spans="1:4" ht="12.75">
      <c r="A645" s="60"/>
      <c r="B645" s="61"/>
      <c r="C645" s="62"/>
      <c r="D645" s="63"/>
    </row>
    <row r="646" spans="1:4" ht="12.75">
      <c r="A646" s="60"/>
      <c r="B646" s="61"/>
      <c r="C646" s="62"/>
      <c r="D646" s="63"/>
    </row>
    <row r="647" spans="1:4" ht="12.75">
      <c r="A647" s="60"/>
      <c r="B647" s="61"/>
      <c r="C647" s="62"/>
      <c r="D647" s="63"/>
    </row>
    <row r="648" spans="1:4" ht="12.75">
      <c r="A648" s="60"/>
      <c r="B648" s="61"/>
      <c r="C648" s="62"/>
      <c r="D648" s="63"/>
    </row>
    <row r="649" spans="1:4" ht="12.75">
      <c r="A649" s="60"/>
      <c r="B649" s="61"/>
      <c r="C649" s="62"/>
      <c r="D649" s="63"/>
    </row>
    <row r="650" spans="1:4" ht="12.75">
      <c r="A650" s="60"/>
      <c r="B650" s="61"/>
      <c r="C650" s="62"/>
      <c r="D650" s="63"/>
    </row>
    <row r="651" spans="1:4" ht="12.75">
      <c r="A651" s="60"/>
      <c r="B651" s="61"/>
      <c r="C651" s="62"/>
      <c r="D651" s="63"/>
    </row>
    <row r="652" spans="1:4" ht="12.75">
      <c r="A652" s="60"/>
      <c r="B652" s="61"/>
      <c r="C652" s="62"/>
      <c r="D652" s="63"/>
    </row>
    <row r="653" spans="1:4" ht="12.75">
      <c r="A653" s="60"/>
      <c r="B653" s="61"/>
      <c r="C653" s="62"/>
      <c r="D653" s="63"/>
    </row>
    <row r="654" spans="1:4" ht="12.75">
      <c r="A654" s="60"/>
      <c r="B654" s="61"/>
      <c r="C654" s="62"/>
      <c r="D654" s="63"/>
    </row>
    <row r="655" spans="1:4" ht="12.75">
      <c r="A655" s="60"/>
      <c r="B655" s="61"/>
      <c r="C655" s="62"/>
      <c r="D655" s="63"/>
    </row>
    <row r="656" spans="1:4" ht="12.75">
      <c r="A656" s="60"/>
      <c r="B656" s="61"/>
      <c r="C656" s="62"/>
      <c r="D656" s="63"/>
    </row>
    <row r="657" spans="1:4" ht="12.75">
      <c r="A657" s="60"/>
      <c r="B657" s="61"/>
      <c r="C657" s="62"/>
      <c r="D657" s="63"/>
    </row>
    <row r="658" spans="1:4" ht="12.75">
      <c r="A658" s="60"/>
      <c r="B658" s="61"/>
      <c r="C658" s="62"/>
      <c r="D658" s="63"/>
    </row>
    <row r="659" spans="1:4" ht="12.75">
      <c r="A659" s="60"/>
      <c r="B659" s="61"/>
      <c r="C659" s="62"/>
      <c r="D659" s="63"/>
    </row>
    <row r="660" spans="1:4" ht="12.75">
      <c r="A660" s="60"/>
      <c r="B660" s="61"/>
      <c r="C660" s="62"/>
      <c r="D660" s="63"/>
    </row>
    <row r="661" spans="1:4" ht="12.75">
      <c r="A661" s="60"/>
      <c r="B661" s="61"/>
      <c r="C661" s="62"/>
      <c r="D661" s="63"/>
    </row>
    <row r="662" spans="1:4" ht="12.75">
      <c r="A662" s="60"/>
      <c r="B662" s="61"/>
      <c r="C662" s="62"/>
      <c r="D662" s="63"/>
    </row>
    <row r="663" spans="1:4" ht="12.75">
      <c r="A663" s="60"/>
      <c r="B663" s="61"/>
      <c r="C663" s="62"/>
      <c r="D663" s="63"/>
    </row>
    <row r="664" spans="1:4" ht="12.75">
      <c r="A664" s="60"/>
      <c r="B664" s="61"/>
      <c r="C664" s="62"/>
      <c r="D664" s="63"/>
    </row>
    <row r="665" spans="1:4" ht="12.75">
      <c r="A665" s="60"/>
      <c r="B665" s="61"/>
      <c r="C665" s="62"/>
      <c r="D665" s="63"/>
    </row>
    <row r="666" spans="1:4" ht="12.75">
      <c r="A666" s="60"/>
      <c r="B666" s="61"/>
      <c r="C666" s="62"/>
      <c r="D666" s="63"/>
    </row>
    <row r="667" spans="1:4" ht="12.75">
      <c r="A667" s="60"/>
      <c r="B667" s="61"/>
      <c r="C667" s="62"/>
      <c r="D667" s="63"/>
    </row>
    <row r="668" spans="1:4" ht="12.75">
      <c r="A668" s="60"/>
      <c r="B668" s="61"/>
      <c r="C668" s="62"/>
      <c r="D668" s="63"/>
    </row>
    <row r="669" spans="1:4" ht="12.75">
      <c r="A669" s="60"/>
      <c r="B669" s="61"/>
      <c r="C669" s="62"/>
      <c r="D669" s="63"/>
    </row>
    <row r="670" spans="1:4" ht="12.75">
      <c r="A670" s="60"/>
      <c r="B670" s="61"/>
      <c r="C670" s="62"/>
      <c r="D670" s="63"/>
    </row>
    <row r="671" spans="1:4" ht="12.75">
      <c r="A671" s="60"/>
      <c r="B671" s="61"/>
      <c r="C671" s="62"/>
      <c r="D671" s="63"/>
    </row>
    <row r="672" spans="1:4" ht="12.75">
      <c r="A672" s="60"/>
      <c r="B672" s="61"/>
      <c r="C672" s="62"/>
      <c r="D672" s="63"/>
    </row>
    <row r="673" spans="1:4" ht="12.75">
      <c r="A673" s="60"/>
      <c r="B673" s="61"/>
      <c r="C673" s="62"/>
      <c r="D673" s="63"/>
    </row>
    <row r="674" spans="1:4" ht="12.75">
      <c r="A674" s="60"/>
      <c r="B674" s="61"/>
      <c r="C674" s="62"/>
      <c r="D674" s="63"/>
    </row>
    <row r="675" spans="1:4" ht="12.75">
      <c r="A675" s="60"/>
      <c r="B675" s="61"/>
      <c r="C675" s="62"/>
      <c r="D675" s="63"/>
    </row>
    <row r="676" spans="1:4" ht="12.75">
      <c r="A676" s="60"/>
      <c r="B676" s="61"/>
      <c r="C676" s="62"/>
      <c r="D676" s="63"/>
    </row>
    <row r="677" spans="1:4" ht="12.75">
      <c r="A677" s="60"/>
      <c r="B677" s="61"/>
      <c r="C677" s="62"/>
      <c r="D677" s="63"/>
    </row>
    <row r="678" spans="1:4" ht="12.75">
      <c r="A678" s="60"/>
      <c r="B678" s="61"/>
      <c r="C678" s="62"/>
      <c r="D678" s="63"/>
    </row>
    <row r="679" spans="1:4" ht="12.75">
      <c r="A679" s="60"/>
      <c r="B679" s="61"/>
      <c r="C679" s="62"/>
      <c r="D679" s="63"/>
    </row>
    <row r="680" spans="1:4" ht="12.75">
      <c r="A680" s="60"/>
      <c r="B680" s="61"/>
      <c r="C680" s="62"/>
      <c r="D680" s="63"/>
    </row>
    <row r="681" spans="1:4" ht="12.75">
      <c r="A681" s="60"/>
      <c r="B681" s="61"/>
      <c r="C681" s="62"/>
      <c r="D681" s="63"/>
    </row>
    <row r="682" spans="1:4" ht="12.75">
      <c r="A682" s="60"/>
      <c r="B682" s="61"/>
      <c r="C682" s="62"/>
      <c r="D682" s="63"/>
    </row>
    <row r="683" spans="1:4" ht="12.75">
      <c r="A683" s="60"/>
      <c r="B683" s="61"/>
      <c r="C683" s="62"/>
      <c r="D683" s="63"/>
    </row>
    <row r="684" spans="1:4" ht="12.75">
      <c r="A684" s="60"/>
      <c r="B684" s="61"/>
      <c r="C684" s="62"/>
      <c r="D684" s="63"/>
    </row>
    <row r="685" spans="1:4" ht="12.75">
      <c r="A685" s="60"/>
      <c r="B685" s="61"/>
      <c r="C685" s="62"/>
      <c r="D685" s="63"/>
    </row>
    <row r="686" spans="1:4" ht="12.75">
      <c r="A686" s="60"/>
      <c r="B686" s="61"/>
      <c r="C686" s="62"/>
      <c r="D686" s="63"/>
    </row>
    <row r="687" spans="1:4" ht="12.75">
      <c r="A687" s="60"/>
      <c r="B687" s="61"/>
      <c r="C687" s="62"/>
      <c r="D687" s="63"/>
    </row>
    <row r="688" spans="1:4" ht="12.75">
      <c r="A688" s="60"/>
      <c r="B688" s="61"/>
      <c r="C688" s="62"/>
      <c r="D688" s="63"/>
    </row>
    <row r="689" spans="1:4" ht="12.75">
      <c r="A689" s="60"/>
      <c r="B689" s="61"/>
      <c r="C689" s="62"/>
      <c r="D689" s="63"/>
    </row>
    <row r="690" spans="1:4" ht="12.75">
      <c r="A690" s="60"/>
      <c r="B690" s="61"/>
      <c r="C690" s="62"/>
      <c r="D690" s="63"/>
    </row>
    <row r="691" spans="1:4" ht="12.75">
      <c r="A691" s="60"/>
      <c r="B691" s="61"/>
      <c r="C691" s="62"/>
      <c r="D691" s="63"/>
    </row>
    <row r="692" spans="1:4" ht="12.75">
      <c r="A692" s="60"/>
      <c r="B692" s="61"/>
      <c r="C692" s="62"/>
      <c r="D692" s="63"/>
    </row>
    <row r="693" spans="1:4" ht="12.75">
      <c r="A693" s="60"/>
      <c r="B693" s="61"/>
      <c r="C693" s="62"/>
      <c r="D693" s="63"/>
    </row>
    <row r="694" spans="1:4" ht="12.75">
      <c r="A694" s="60"/>
      <c r="B694" s="61"/>
      <c r="C694" s="62"/>
      <c r="D694" s="63"/>
    </row>
    <row r="695" spans="1:4" ht="12.75">
      <c r="A695" s="60"/>
      <c r="B695" s="61"/>
      <c r="C695" s="62"/>
      <c r="D695" s="63"/>
    </row>
    <row r="696" spans="1:4" ht="12.75">
      <c r="A696" s="60"/>
      <c r="B696" s="61"/>
      <c r="C696" s="62"/>
      <c r="D696" s="63"/>
    </row>
    <row r="697" spans="1:4" ht="12.75">
      <c r="A697" s="60"/>
      <c r="B697" s="61"/>
      <c r="C697" s="62"/>
      <c r="D697" s="63"/>
    </row>
    <row r="698" spans="1:4" ht="12.75">
      <c r="A698" s="60"/>
      <c r="B698" s="61"/>
      <c r="C698" s="62"/>
      <c r="D698" s="63"/>
    </row>
    <row r="699" spans="1:4" ht="12.75">
      <c r="A699" s="60"/>
      <c r="B699" s="61"/>
      <c r="C699" s="62"/>
      <c r="D699" s="63"/>
    </row>
    <row r="700" spans="1:4" ht="12.75">
      <c r="A700" s="60"/>
      <c r="B700" s="61"/>
      <c r="C700" s="62"/>
      <c r="D700" s="63"/>
    </row>
    <row r="701" spans="1:4" ht="12.75">
      <c r="A701" s="60"/>
      <c r="B701" s="61"/>
      <c r="C701" s="62"/>
      <c r="D701" s="63"/>
    </row>
    <row r="702" spans="1:4" ht="12.75">
      <c r="A702" s="60"/>
      <c r="B702" s="61"/>
      <c r="C702" s="62"/>
      <c r="D702" s="63"/>
    </row>
    <row r="703" spans="1:4" ht="12.75">
      <c r="A703" s="60"/>
      <c r="B703" s="61"/>
      <c r="C703" s="62"/>
      <c r="D703" s="63"/>
    </row>
    <row r="704" spans="1:4" ht="12.75">
      <c r="A704" s="60"/>
      <c r="B704" s="61"/>
      <c r="C704" s="62"/>
      <c r="D704" s="63"/>
    </row>
    <row r="705" spans="1:4" ht="12.75">
      <c r="A705" s="60"/>
      <c r="B705" s="61"/>
      <c r="C705" s="62"/>
      <c r="D705" s="63"/>
    </row>
    <row r="706" spans="1:4" ht="12.75">
      <c r="A706" s="60"/>
      <c r="B706" s="61"/>
      <c r="C706" s="62"/>
      <c r="D706" s="63"/>
    </row>
    <row r="707" spans="1:4" ht="12.75">
      <c r="A707" s="60"/>
      <c r="B707" s="61"/>
      <c r="C707" s="62"/>
      <c r="D707" s="63"/>
    </row>
    <row r="708" spans="1:4" ht="12.75">
      <c r="A708" s="60"/>
      <c r="B708" s="61"/>
      <c r="C708" s="62"/>
      <c r="D708" s="63"/>
    </row>
    <row r="709" spans="1:4" ht="12.75">
      <c r="A709" s="60"/>
      <c r="B709" s="61"/>
      <c r="C709" s="62"/>
      <c r="D709" s="63"/>
    </row>
    <row r="710" spans="1:4" ht="12.75">
      <c r="A710" s="60"/>
      <c r="B710" s="61"/>
      <c r="C710" s="62"/>
      <c r="D710" s="63"/>
    </row>
    <row r="711" spans="1:4" ht="12.75">
      <c r="A711" s="60"/>
      <c r="B711" s="61"/>
      <c r="C711" s="62"/>
      <c r="D711" s="63"/>
    </row>
    <row r="712" spans="1:4" ht="12.75">
      <c r="A712" s="60"/>
      <c r="B712" s="61"/>
      <c r="C712" s="62"/>
      <c r="D712" s="63"/>
    </row>
    <row r="713" spans="1:4" ht="12.75">
      <c r="A713" s="60"/>
      <c r="B713" s="61"/>
      <c r="C713" s="62"/>
      <c r="D713" s="63"/>
    </row>
    <row r="714" spans="1:4" ht="12.75">
      <c r="A714" s="60"/>
      <c r="B714" s="61"/>
      <c r="C714" s="62"/>
      <c r="D714" s="63"/>
    </row>
    <row r="715" spans="1:4" ht="12.75">
      <c r="A715" s="60"/>
      <c r="B715" s="61"/>
      <c r="C715" s="62"/>
      <c r="D715" s="63"/>
    </row>
    <row r="716" spans="1:4" ht="12.75">
      <c r="A716" s="60"/>
      <c r="B716" s="61"/>
      <c r="C716" s="62"/>
      <c r="D716" s="63"/>
    </row>
    <row r="717" spans="1:4" ht="12.75">
      <c r="A717" s="60"/>
      <c r="B717" s="61"/>
      <c r="C717" s="62"/>
      <c r="D717" s="63"/>
    </row>
    <row r="718" spans="1:4" ht="12.75">
      <c r="A718" s="60"/>
      <c r="B718" s="61"/>
      <c r="C718" s="62"/>
      <c r="D718" s="63"/>
    </row>
    <row r="719" spans="1:4" ht="12.75">
      <c r="A719" s="60"/>
      <c r="B719" s="61"/>
      <c r="C719" s="62"/>
      <c r="D719" s="63"/>
    </row>
    <row r="720" spans="1:4" ht="12.75">
      <c r="A720" s="60"/>
      <c r="B720" s="61"/>
      <c r="C720" s="62"/>
      <c r="D720" s="63"/>
    </row>
    <row r="721" spans="1:4" ht="12.75">
      <c r="A721" s="60"/>
      <c r="B721" s="61"/>
      <c r="C721" s="62"/>
      <c r="D721" s="63"/>
    </row>
    <row r="722" spans="1:4" ht="12.75">
      <c r="A722" s="60"/>
      <c r="B722" s="61"/>
      <c r="C722" s="62"/>
      <c r="D722" s="63"/>
    </row>
    <row r="723" spans="1:4" ht="12.75">
      <c r="A723" s="60"/>
      <c r="B723" s="61"/>
      <c r="C723" s="62"/>
      <c r="D723" s="63"/>
    </row>
    <row r="724" spans="1:4" ht="12.75">
      <c r="A724" s="60"/>
      <c r="B724" s="61"/>
      <c r="C724" s="62"/>
      <c r="D724" s="63"/>
    </row>
    <row r="725" spans="1:4" ht="12.75">
      <c r="A725" s="60"/>
      <c r="B725" s="61"/>
      <c r="C725" s="62"/>
      <c r="D725" s="63"/>
    </row>
    <row r="726" spans="1:4" ht="12.75">
      <c r="A726" s="60"/>
      <c r="B726" s="61"/>
      <c r="C726" s="62"/>
      <c r="D726" s="63"/>
    </row>
    <row r="727" spans="1:4" ht="12.75">
      <c r="A727" s="60"/>
      <c r="B727" s="61"/>
      <c r="C727" s="62"/>
      <c r="D727" s="63"/>
    </row>
    <row r="728" spans="1:4" ht="12.75">
      <c r="A728" s="60"/>
      <c r="B728" s="61"/>
      <c r="C728" s="62"/>
      <c r="D728" s="63"/>
    </row>
    <row r="729" spans="1:4" ht="12.75">
      <c r="A729" s="60"/>
      <c r="B729" s="61"/>
      <c r="C729" s="62"/>
      <c r="D729" s="63"/>
    </row>
  </sheetData>
  <mergeCells count="7">
    <mergeCell ref="S8:X8"/>
    <mergeCell ref="F8:Q8"/>
    <mergeCell ref="M9:Q9"/>
    <mergeCell ref="F10:G10"/>
    <mergeCell ref="F9:L9"/>
    <mergeCell ref="M10:N10"/>
    <mergeCell ref="S9:X9"/>
  </mergeCells>
  <printOptions/>
  <pageMargins left="0.65" right="0.51" top="1" bottom="1" header="0.5" footer="0.5"/>
  <pageSetup fitToHeight="0" fitToWidth="1" horizontalDpi="300" verticalDpi="300" orientation="portrait" paperSize="9" scale="22" r:id="rId3"/>
  <headerFooter alignWithMargins="0">
    <oddFooter>&amp;L
&amp;"Arial,Italic"Bare, Leaning and Bare
Chartered Quantity Surveyors&amp;RPage &amp;P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Z767"/>
  <sheetViews>
    <sheetView view="pageBreakPreview" zoomScale="90" zoomScaleNormal="75" zoomScaleSheetLayoutView="90" workbookViewId="0" topLeftCell="A4">
      <pane xSplit="5" ySplit="7" topLeftCell="F163" activePane="bottomRight" state="frozen"/>
      <selection pane="topLeft" activeCell="A4" sqref="A4"/>
      <selection pane="topRight" activeCell="F4" sqref="F4"/>
      <selection pane="bottomLeft" activeCell="A9" sqref="A9"/>
      <selection pane="bottomRight" activeCell="A169" sqref="A169:IV186"/>
    </sheetView>
  </sheetViews>
  <sheetFormatPr defaultColWidth="9.140625" defaultRowHeight="12.75" outlineLevelRow="1" outlineLevelCol="1"/>
  <cols>
    <col min="1" max="1" width="4.00390625" style="67" customWidth="1" outlineLevel="1"/>
    <col min="2" max="2" width="5.7109375" style="67" customWidth="1" outlineLevel="1"/>
    <col min="3" max="3" width="6.140625" style="7" customWidth="1" outlineLevel="1"/>
    <col min="4" max="4" width="6.57421875" style="68" customWidth="1" outlineLevel="1"/>
    <col min="5" max="5" width="40.57421875" style="8" customWidth="1"/>
    <col min="6" max="6" width="6.140625" style="5" customWidth="1"/>
    <col min="7" max="7" width="4.7109375" style="6" customWidth="1"/>
    <col min="8" max="8" width="7.140625" style="6" customWidth="1" outlineLevel="1"/>
    <col min="9" max="9" width="8.57421875" style="6" customWidth="1" outlineLevel="1"/>
    <col min="10" max="10" width="9.8515625" style="7" customWidth="1"/>
    <col min="11" max="11" width="10.57421875" style="7" customWidth="1"/>
    <col min="12" max="12" width="29.00390625" style="91" customWidth="1"/>
    <col min="13" max="13" width="6.140625" style="5" customWidth="1"/>
    <col min="14" max="14" width="4.7109375" style="6" customWidth="1"/>
    <col min="15" max="15" width="9.8515625" style="7" customWidth="1"/>
    <col min="16" max="16" width="10.57421875" style="7" customWidth="1"/>
    <col min="17" max="17" width="29.00390625" style="7" customWidth="1"/>
    <col min="18" max="18" width="0.9921875" style="6" customWidth="1"/>
    <col min="19" max="19" width="35.421875" style="6" customWidth="1"/>
    <col min="20" max="21" width="9.421875" style="6" customWidth="1"/>
    <col min="22" max="22" width="7.421875" style="6" customWidth="1"/>
    <col min="23" max="23" width="11.8515625" style="7" customWidth="1"/>
    <col min="24" max="24" width="27.421875" style="6" customWidth="1"/>
    <col min="25" max="16384" width="9.140625" style="6" customWidth="1"/>
  </cols>
  <sheetData>
    <row r="1" spans="1:5" ht="12.75">
      <c r="A1" s="1"/>
      <c r="B1" s="2"/>
      <c r="C1" s="2"/>
      <c r="D1" s="3"/>
      <c r="E1" s="4" t="s">
        <v>5</v>
      </c>
    </row>
    <row r="2" spans="1:4" ht="12.75">
      <c r="A2" s="1"/>
      <c r="B2" s="2"/>
      <c r="C2" s="2"/>
      <c r="D2" s="3"/>
    </row>
    <row r="3" spans="1:17" ht="12.75">
      <c r="A3" s="1"/>
      <c r="B3" s="2"/>
      <c r="C3" s="2"/>
      <c r="D3" s="3"/>
      <c r="E3" s="9" t="s">
        <v>3</v>
      </c>
      <c r="K3" s="25"/>
      <c r="L3" s="92"/>
      <c r="P3" s="25"/>
      <c r="Q3" s="25"/>
    </row>
    <row r="4" spans="1:17" ht="18.75">
      <c r="A4" s="1"/>
      <c r="B4" s="2"/>
      <c r="C4" s="2"/>
      <c r="D4" s="3"/>
      <c r="E4" s="134" t="s">
        <v>303</v>
      </c>
      <c r="K4" s="25"/>
      <c r="L4" s="92"/>
      <c r="P4" s="25"/>
      <c r="Q4" s="25"/>
    </row>
    <row r="5" spans="1:17" ht="12.75">
      <c r="A5" s="1"/>
      <c r="B5" s="2"/>
      <c r="C5" s="2"/>
      <c r="D5" s="3"/>
      <c r="E5" s="9"/>
      <c r="K5" s="25"/>
      <c r="L5" s="92"/>
      <c r="P5" s="25"/>
      <c r="Q5" s="25"/>
    </row>
    <row r="6" spans="1:17" ht="18.75">
      <c r="A6" s="1"/>
      <c r="B6" s="2"/>
      <c r="C6" s="2"/>
      <c r="D6" s="3"/>
      <c r="E6" s="125" t="s">
        <v>369</v>
      </c>
      <c r="K6" s="10"/>
      <c r="L6" s="93"/>
      <c r="P6" s="10"/>
      <c r="Q6" s="10"/>
    </row>
    <row r="7" spans="1:17" ht="12.75">
      <c r="A7" s="1"/>
      <c r="B7" s="2"/>
      <c r="C7" s="2"/>
      <c r="D7" s="3"/>
      <c r="E7" s="6"/>
      <c r="K7" s="10"/>
      <c r="L7" s="93"/>
      <c r="P7" s="10"/>
      <c r="Q7" s="10"/>
    </row>
    <row r="8" spans="1:24" ht="24.75" customHeight="1">
      <c r="A8" s="1"/>
      <c r="B8" s="2"/>
      <c r="C8" s="2"/>
      <c r="D8" s="3"/>
      <c r="E8" s="9"/>
      <c r="F8" s="174" t="s">
        <v>170</v>
      </c>
      <c r="G8" s="175"/>
      <c r="H8" s="175"/>
      <c r="I8" s="175"/>
      <c r="J8" s="175"/>
      <c r="K8" s="175"/>
      <c r="L8" s="175"/>
      <c r="M8" s="175"/>
      <c r="N8" s="175"/>
      <c r="O8" s="175"/>
      <c r="P8" s="175"/>
      <c r="Q8" s="176"/>
      <c r="S8" s="171" t="s">
        <v>252</v>
      </c>
      <c r="T8" s="172"/>
      <c r="U8" s="172"/>
      <c r="V8" s="172"/>
      <c r="W8" s="172"/>
      <c r="X8" s="173"/>
    </row>
    <row r="9" spans="1:24" ht="28.5" customHeight="1">
      <c r="A9" s="1"/>
      <c r="B9" s="2"/>
      <c r="C9" s="2"/>
      <c r="D9" s="3"/>
      <c r="E9" s="9"/>
      <c r="F9" s="182" t="s">
        <v>11</v>
      </c>
      <c r="G9" s="183"/>
      <c r="H9" s="183"/>
      <c r="I9" s="183"/>
      <c r="J9" s="183"/>
      <c r="K9" s="183"/>
      <c r="L9" s="184"/>
      <c r="M9" s="177" t="s">
        <v>12</v>
      </c>
      <c r="N9" s="178"/>
      <c r="O9" s="178"/>
      <c r="P9" s="178"/>
      <c r="Q9" s="179"/>
      <c r="S9" s="187" t="s">
        <v>11</v>
      </c>
      <c r="T9" s="188"/>
      <c r="U9" s="188"/>
      <c r="V9" s="188"/>
      <c r="W9" s="188"/>
      <c r="X9" s="189"/>
    </row>
    <row r="10" spans="1:26" ht="51" customHeight="1">
      <c r="A10" s="56"/>
      <c r="B10" s="57"/>
      <c r="C10" s="58"/>
      <c r="D10" s="59"/>
      <c r="E10" s="88" t="s">
        <v>1</v>
      </c>
      <c r="F10" s="180" t="s">
        <v>0</v>
      </c>
      <c r="G10" s="181"/>
      <c r="H10" s="26" t="s">
        <v>13</v>
      </c>
      <c r="I10" s="26" t="s">
        <v>14</v>
      </c>
      <c r="J10" s="22" t="s">
        <v>9</v>
      </c>
      <c r="K10" s="11" t="s">
        <v>2</v>
      </c>
      <c r="L10" s="28" t="s">
        <v>10</v>
      </c>
      <c r="M10" s="185" t="s">
        <v>0</v>
      </c>
      <c r="N10" s="186"/>
      <c r="O10" s="29" t="s">
        <v>9</v>
      </c>
      <c r="P10" s="28" t="s">
        <v>2</v>
      </c>
      <c r="Q10" s="28" t="s">
        <v>10</v>
      </c>
      <c r="R10" s="12"/>
      <c r="S10" s="104" t="s">
        <v>1</v>
      </c>
      <c r="T10" s="105" t="s">
        <v>253</v>
      </c>
      <c r="U10" s="105" t="s">
        <v>254</v>
      </c>
      <c r="V10" s="105" t="s">
        <v>256</v>
      </c>
      <c r="W10" s="22" t="s">
        <v>255</v>
      </c>
      <c r="X10" s="106" t="s">
        <v>10</v>
      </c>
      <c r="Y10" s="12"/>
      <c r="Z10" s="12"/>
    </row>
    <row r="11" spans="1:24" ht="12.75">
      <c r="A11" s="60"/>
      <c r="B11" s="61"/>
      <c r="C11" s="62"/>
      <c r="D11" s="63"/>
      <c r="E11" s="13"/>
      <c r="F11" s="14"/>
      <c r="G11" s="24"/>
      <c r="H11" s="27"/>
      <c r="I11" s="27"/>
      <c r="J11" s="19"/>
      <c r="K11" s="15"/>
      <c r="L11" s="94"/>
      <c r="M11" s="14"/>
      <c r="N11" s="24"/>
      <c r="O11" s="19"/>
      <c r="P11" s="15"/>
      <c r="Q11" s="30"/>
      <c r="S11" s="107"/>
      <c r="T11" s="108"/>
      <c r="U11" s="108"/>
      <c r="V11" s="108"/>
      <c r="W11" s="109"/>
      <c r="X11" s="24"/>
    </row>
    <row r="12" spans="1:24" ht="12.75">
      <c r="A12" s="60"/>
      <c r="B12" s="61"/>
      <c r="C12" s="64"/>
      <c r="D12" s="63"/>
      <c r="E12" s="38"/>
      <c r="F12" s="33"/>
      <c r="G12" s="34"/>
      <c r="H12" s="39"/>
      <c r="I12" s="39"/>
      <c r="J12" s="36">
        <f>IF(+I12+H12&gt;0,I12+(H12*labour),"")</f>
      </c>
      <c r="K12" s="37">
        <f>+IF(F12="item",J12,IF(F12&lt;&gt;0,F12*J12,""))</f>
      </c>
      <c r="L12" s="31"/>
      <c r="M12" s="33"/>
      <c r="N12" s="34"/>
      <c r="O12" s="36"/>
      <c r="P12" s="37">
        <f>+IF(M12="item",O12,IF(M12&lt;&gt;0,M12*O12,""))</f>
      </c>
      <c r="Q12" s="54"/>
      <c r="S12" s="110"/>
      <c r="T12" s="12"/>
      <c r="U12" s="12"/>
      <c r="V12" s="12"/>
      <c r="W12" s="19"/>
      <c r="X12" s="111"/>
    </row>
    <row r="13" spans="1:24" ht="15.75">
      <c r="A13" s="60"/>
      <c r="B13" s="61"/>
      <c r="C13" s="86"/>
      <c r="D13" s="87"/>
      <c r="E13" s="78" t="s">
        <v>83</v>
      </c>
      <c r="F13" s="79"/>
      <c r="G13" s="80"/>
      <c r="H13" s="81"/>
      <c r="I13" s="81"/>
      <c r="J13" s="82"/>
      <c r="K13" s="83"/>
      <c r="L13" s="84"/>
      <c r="M13" s="79"/>
      <c r="N13" s="80"/>
      <c r="O13" s="82"/>
      <c r="P13" s="83"/>
      <c r="Q13" s="85"/>
      <c r="S13" s="110"/>
      <c r="T13" s="12"/>
      <c r="U13" s="12"/>
      <c r="V13" s="12"/>
      <c r="W13" s="19"/>
      <c r="X13" s="111"/>
    </row>
    <row r="14" spans="1:24" ht="12.75">
      <c r="A14" s="60"/>
      <c r="B14" s="61"/>
      <c r="C14" s="64"/>
      <c r="D14" s="63"/>
      <c r="E14" s="38"/>
      <c r="F14" s="33"/>
      <c r="G14" s="34"/>
      <c r="H14" s="39"/>
      <c r="I14" s="39"/>
      <c r="J14" s="36"/>
      <c r="K14" s="37"/>
      <c r="L14" s="31"/>
      <c r="M14" s="33"/>
      <c r="N14" s="34"/>
      <c r="O14" s="36"/>
      <c r="P14" s="37"/>
      <c r="Q14" s="54"/>
      <c r="S14" s="110"/>
      <c r="T14" s="12"/>
      <c r="U14" s="12"/>
      <c r="V14" s="12"/>
      <c r="W14" s="19"/>
      <c r="X14" s="111"/>
    </row>
    <row r="15" spans="1:24" ht="12.75">
      <c r="A15" s="60"/>
      <c r="B15" s="61"/>
      <c r="C15" s="64"/>
      <c r="D15" s="63"/>
      <c r="E15" s="38"/>
      <c r="F15" s="33"/>
      <c r="G15" s="34"/>
      <c r="H15" s="39"/>
      <c r="I15" s="39"/>
      <c r="J15" s="36"/>
      <c r="K15" s="37"/>
      <c r="L15" s="31"/>
      <c r="M15" s="33"/>
      <c r="N15" s="34"/>
      <c r="O15" s="36"/>
      <c r="P15" s="37"/>
      <c r="Q15" s="54"/>
      <c r="S15" s="110"/>
      <c r="T15" s="12"/>
      <c r="U15" s="12"/>
      <c r="V15" s="12"/>
      <c r="W15" s="19"/>
      <c r="X15" s="111"/>
    </row>
    <row r="16" spans="1:24" ht="25.5" customHeight="1">
      <c r="A16" s="60"/>
      <c r="B16" s="61"/>
      <c r="C16" s="64"/>
      <c r="D16" s="63"/>
      <c r="E16" s="32" t="s">
        <v>84</v>
      </c>
      <c r="F16" s="33"/>
      <c r="G16" s="34"/>
      <c r="H16" s="39"/>
      <c r="I16" s="39"/>
      <c r="J16" s="36"/>
      <c r="K16" s="53">
        <f>SUM(K18:K31)</f>
        <v>1846.0904</v>
      </c>
      <c r="L16" s="31" t="s">
        <v>368</v>
      </c>
      <c r="M16" s="33"/>
      <c r="N16" s="34"/>
      <c r="O16" s="36"/>
      <c r="P16" s="53">
        <f>SUM(P18:P31)</f>
        <v>0</v>
      </c>
      <c r="Q16" s="76" t="s">
        <v>371</v>
      </c>
      <c r="S16" s="110"/>
      <c r="T16" s="12"/>
      <c r="U16" s="12"/>
      <c r="V16" s="12"/>
      <c r="W16" s="112">
        <f>SUM(W18:W31)</f>
        <v>28.299999999999997</v>
      </c>
      <c r="X16" s="111"/>
    </row>
    <row r="17" spans="1:24" ht="12.75" hidden="1" outlineLevel="1">
      <c r="A17" s="60"/>
      <c r="B17" s="61"/>
      <c r="C17" s="64"/>
      <c r="D17" s="63"/>
      <c r="E17" s="38"/>
      <c r="F17" s="33"/>
      <c r="G17" s="34"/>
      <c r="H17" s="39"/>
      <c r="I17" s="39"/>
      <c r="J17" s="36">
        <f>IF(+I17+H17&gt;0,I17+(H17*labour),"")</f>
      </c>
      <c r="K17" s="37"/>
      <c r="L17" s="31"/>
      <c r="M17" s="33"/>
      <c r="N17" s="34"/>
      <c r="O17" s="36"/>
      <c r="P17" s="37">
        <f>+IF(M17="item",O17,IF(M17&lt;&gt;0,M17*O17,""))</f>
      </c>
      <c r="Q17" s="54"/>
      <c r="S17" s="113" t="s">
        <v>257</v>
      </c>
      <c r="T17" s="12"/>
      <c r="U17" s="12"/>
      <c r="V17" s="12"/>
      <c r="W17" s="19"/>
      <c r="X17" s="111"/>
    </row>
    <row r="18" spans="1:24" ht="12.75" hidden="1" outlineLevel="1">
      <c r="A18" s="60"/>
      <c r="B18" s="61"/>
      <c r="C18" s="64"/>
      <c r="D18" s="63"/>
      <c r="E18" s="38" t="s">
        <v>38</v>
      </c>
      <c r="F18" s="33">
        <f>ROUND(D22,0)</f>
        <v>28</v>
      </c>
      <c r="G18" s="34" t="s">
        <v>35</v>
      </c>
      <c r="H18" s="39">
        <v>0.13</v>
      </c>
      <c r="I18" s="39">
        <f>space</f>
        <v>5.6784</v>
      </c>
      <c r="J18" s="36">
        <f>IF(+I18+H18&gt;0,I18+(H18*labour),"")</f>
        <v>9.5784</v>
      </c>
      <c r="K18" s="37">
        <f>+IF(F18="item",J18,IF(F18&lt;&gt;0,F18*J18,""))</f>
        <v>268.1952</v>
      </c>
      <c r="M18" s="33"/>
      <c r="N18" s="34"/>
      <c r="O18" s="36"/>
      <c r="P18" s="37"/>
      <c r="Q18" s="54"/>
      <c r="S18" s="110" t="str">
        <f>+E18</f>
        <v>150mm thick Spaceblanket</v>
      </c>
      <c r="T18" s="114">
        <f>+K18</f>
        <v>268.1952</v>
      </c>
      <c r="U18" s="12"/>
      <c r="V18" s="12">
        <v>60</v>
      </c>
      <c r="W18" s="19">
        <f>ROUND(+IF(V18&gt;0,T18/V18,""),2)</f>
        <v>4.47</v>
      </c>
      <c r="X18" s="111"/>
    </row>
    <row r="19" spans="1:24" ht="12.75" hidden="1" outlineLevel="1">
      <c r="A19" s="60"/>
      <c r="B19" s="61"/>
      <c r="C19" s="64">
        <v>2.5</v>
      </c>
      <c r="D19" s="63"/>
      <c r="E19" s="38"/>
      <c r="F19" s="33"/>
      <c r="G19" s="34"/>
      <c r="H19" s="39"/>
      <c r="I19" s="39"/>
      <c r="J19" s="36"/>
      <c r="K19" s="37"/>
      <c r="L19" s="31"/>
      <c r="M19" s="33"/>
      <c r="N19" s="34"/>
      <c r="O19" s="36"/>
      <c r="P19" s="37"/>
      <c r="Q19" s="54"/>
      <c r="S19" s="110"/>
      <c r="T19" s="114"/>
      <c r="U19" s="12"/>
      <c r="V19" s="12"/>
      <c r="W19" s="19"/>
      <c r="X19" s="111"/>
    </row>
    <row r="20" spans="1:24" ht="12.75" hidden="1" outlineLevel="1">
      <c r="A20" s="60"/>
      <c r="B20" s="61"/>
      <c r="C20" s="135">
        <v>11</v>
      </c>
      <c r="D20" s="63">
        <f>+C19*C20</f>
        <v>27.5</v>
      </c>
      <c r="E20" s="38"/>
      <c r="F20" s="33"/>
      <c r="G20" s="34"/>
      <c r="H20" s="39"/>
      <c r="I20" s="39"/>
      <c r="J20" s="36"/>
      <c r="K20" s="37"/>
      <c r="L20" s="31"/>
      <c r="M20" s="33"/>
      <c r="N20" s="34"/>
      <c r="O20" s="36"/>
      <c r="P20" s="37"/>
      <c r="Q20" s="54"/>
      <c r="S20" s="110"/>
      <c r="T20" s="114"/>
      <c r="U20" s="12"/>
      <c r="V20" s="12"/>
      <c r="W20" s="19"/>
      <c r="X20" s="111"/>
    </row>
    <row r="21" spans="1:24" ht="12.75" hidden="1" outlineLevel="1">
      <c r="A21" s="60"/>
      <c r="B21" s="61"/>
      <c r="C21" s="64"/>
      <c r="D21" s="63"/>
      <c r="E21" s="38"/>
      <c r="F21" s="33"/>
      <c r="G21" s="34"/>
      <c r="H21" s="39"/>
      <c r="I21" s="39"/>
      <c r="J21" s="36"/>
      <c r="K21" s="37"/>
      <c r="L21" s="31"/>
      <c r="M21" s="33"/>
      <c r="N21" s="34"/>
      <c r="O21" s="36"/>
      <c r="P21" s="37"/>
      <c r="Q21" s="54"/>
      <c r="S21" s="110"/>
      <c r="T21" s="114"/>
      <c r="U21" s="12"/>
      <c r="V21" s="12"/>
      <c r="W21" s="19"/>
      <c r="X21" s="111"/>
    </row>
    <row r="22" spans="1:24" ht="12.75" hidden="1" outlineLevel="1">
      <c r="A22" s="60"/>
      <c r="B22" s="61"/>
      <c r="C22" s="64"/>
      <c r="D22" s="65">
        <f>SUM(D19:D21)</f>
        <v>27.5</v>
      </c>
      <c r="E22" s="38"/>
      <c r="F22" s="33"/>
      <c r="G22" s="34"/>
      <c r="H22" s="39"/>
      <c r="I22" s="39"/>
      <c r="J22" s="36"/>
      <c r="K22" s="37"/>
      <c r="L22" s="31"/>
      <c r="M22" s="33"/>
      <c r="N22" s="34"/>
      <c r="O22" s="36"/>
      <c r="P22" s="37"/>
      <c r="Q22" s="54"/>
      <c r="S22" s="110"/>
      <c r="T22" s="114"/>
      <c r="U22" s="12"/>
      <c r="V22" s="12"/>
      <c r="W22" s="19"/>
      <c r="X22" s="111"/>
    </row>
    <row r="23" spans="1:24" ht="12.75" hidden="1" outlineLevel="1">
      <c r="A23" s="60"/>
      <c r="B23" s="61"/>
      <c r="C23" s="64"/>
      <c r="D23" s="63"/>
      <c r="E23" s="38"/>
      <c r="F23" s="33"/>
      <c r="G23" s="34"/>
      <c r="H23" s="39"/>
      <c r="I23" s="39"/>
      <c r="J23" s="36">
        <f>IF(+I23+H23&gt;0,I23+(H23*labour),"")</f>
      </c>
      <c r="K23" s="37">
        <f aca="true" t="shared" si="0" ref="K23:K29">+IF(F23="item",J23,IF(F23&lt;&gt;0,F23*J23,""))</f>
      </c>
      <c r="L23" s="31"/>
      <c r="M23" s="33"/>
      <c r="N23" s="34"/>
      <c r="O23" s="36"/>
      <c r="P23" s="37"/>
      <c r="Q23" s="54"/>
      <c r="S23" s="110"/>
      <c r="T23" s="12"/>
      <c r="U23" s="12"/>
      <c r="V23" s="12"/>
      <c r="W23" s="19"/>
      <c r="X23" s="111"/>
    </row>
    <row r="24" spans="1:24" ht="12.75" hidden="1" outlineLevel="1">
      <c r="A24" s="60"/>
      <c r="B24" s="61"/>
      <c r="C24" s="64"/>
      <c r="D24" s="63"/>
      <c r="E24" s="38" t="s">
        <v>370</v>
      </c>
      <c r="F24" s="33">
        <v>9</v>
      </c>
      <c r="G24" s="34" t="s">
        <v>8</v>
      </c>
      <c r="H24" s="39"/>
      <c r="I24" s="39"/>
      <c r="J24" s="36">
        <v>150</v>
      </c>
      <c r="K24" s="37">
        <f t="shared" si="0"/>
        <v>1350</v>
      </c>
      <c r="L24" s="31"/>
      <c r="M24" s="33"/>
      <c r="N24" s="34"/>
      <c r="O24" s="36"/>
      <c r="P24" s="37"/>
      <c r="Q24" s="54"/>
      <c r="S24" s="110" t="str">
        <f>+E24</f>
        <v>Purpose made lead ventilation detail</v>
      </c>
      <c r="T24" s="114">
        <f>+K24</f>
        <v>1350</v>
      </c>
      <c r="U24" s="12"/>
      <c r="V24" s="12">
        <v>60</v>
      </c>
      <c r="W24" s="19">
        <f>ROUND(+IF(V24&gt;0,T24/V24,""),2)</f>
        <v>22.5</v>
      </c>
      <c r="X24" s="111"/>
    </row>
    <row r="25" spans="1:24" ht="12.75" hidden="1" outlineLevel="1">
      <c r="A25" s="60"/>
      <c r="B25" s="61"/>
      <c r="C25" s="64"/>
      <c r="D25" s="63"/>
      <c r="E25" s="38"/>
      <c r="F25" s="33"/>
      <c r="G25" s="34"/>
      <c r="H25" s="39"/>
      <c r="I25" s="39"/>
      <c r="J25" s="36">
        <f>IF(+I25+H25&gt;0,I25+(H25*labour),"")</f>
      </c>
      <c r="K25" s="37">
        <f t="shared" si="0"/>
      </c>
      <c r="L25" s="31"/>
      <c r="M25" s="33"/>
      <c r="N25" s="34"/>
      <c r="O25" s="36"/>
      <c r="P25" s="37"/>
      <c r="Q25" s="54"/>
      <c r="S25" s="110"/>
      <c r="T25" s="12"/>
      <c r="U25" s="12"/>
      <c r="V25" s="12"/>
      <c r="W25" s="19"/>
      <c r="X25" s="111"/>
    </row>
    <row r="26" spans="1:24" ht="12.75" hidden="1" outlineLevel="1">
      <c r="A26" s="60"/>
      <c r="B26" s="61"/>
      <c r="C26" s="64"/>
      <c r="D26" s="63"/>
      <c r="E26" s="38" t="s">
        <v>40</v>
      </c>
      <c r="F26" s="33" t="s">
        <v>1</v>
      </c>
      <c r="G26" s="34"/>
      <c r="H26" s="39"/>
      <c r="I26" s="39">
        <f>draughtdoor</f>
        <v>10.0688</v>
      </c>
      <c r="J26" s="36">
        <f>IF(+I26+H26&gt;0,I26+(H26*labour),"")</f>
        <v>10.0688</v>
      </c>
      <c r="K26" s="37">
        <f t="shared" si="0"/>
        <v>10.0688</v>
      </c>
      <c r="L26" s="31"/>
      <c r="M26" s="33"/>
      <c r="N26" s="34"/>
      <c r="O26" s="36"/>
      <c r="P26" s="37"/>
      <c r="Q26" s="54"/>
      <c r="S26" s="110" t="str">
        <f>+E26</f>
        <v>Pin on brush seals to loft hatch</v>
      </c>
      <c r="T26" s="114">
        <f>+K26</f>
        <v>10.0688</v>
      </c>
      <c r="U26" s="12"/>
      <c r="V26" s="12">
        <v>20</v>
      </c>
      <c r="W26" s="19">
        <f>ROUND(+IF(V26&gt;0,T26/V26,""),2)</f>
        <v>0.5</v>
      </c>
      <c r="X26" s="111"/>
    </row>
    <row r="27" spans="1:24" ht="12.75" hidden="1" outlineLevel="1">
      <c r="A27" s="60"/>
      <c r="B27" s="61"/>
      <c r="C27" s="64"/>
      <c r="D27" s="63"/>
      <c r="E27" s="38"/>
      <c r="F27" s="33"/>
      <c r="G27" s="34"/>
      <c r="H27" s="39"/>
      <c r="I27" s="39"/>
      <c r="J27" s="36">
        <f>IF(+I27+H27&gt;0,I27+(H27*labour),"")</f>
      </c>
      <c r="K27" s="37">
        <f t="shared" si="0"/>
      </c>
      <c r="L27" s="31"/>
      <c r="M27" s="33"/>
      <c r="N27" s="34"/>
      <c r="O27" s="36"/>
      <c r="P27" s="37"/>
      <c r="Q27" s="54"/>
      <c r="S27" s="110"/>
      <c r="T27" s="12"/>
      <c r="U27" s="12"/>
      <c r="V27" s="12"/>
      <c r="W27" s="19"/>
      <c r="X27" s="111"/>
    </row>
    <row r="28" spans="1:24" ht="12.75" hidden="1" outlineLevel="1">
      <c r="A28" s="60"/>
      <c r="B28" s="61"/>
      <c r="C28" s="64"/>
      <c r="D28" s="63"/>
      <c r="E28" s="38" t="s">
        <v>43</v>
      </c>
      <c r="F28" s="33" t="s">
        <v>1</v>
      </c>
      <c r="G28" s="34"/>
      <c r="H28" s="39"/>
      <c r="I28" s="39">
        <v>10</v>
      </c>
      <c r="J28" s="36">
        <v>50</v>
      </c>
      <c r="K28" s="37">
        <f t="shared" si="0"/>
        <v>50</v>
      </c>
      <c r="L28" s="31"/>
      <c r="M28" s="33"/>
      <c r="N28" s="34"/>
      <c r="O28" s="36"/>
      <c r="P28" s="37"/>
      <c r="Q28" s="54"/>
      <c r="S28" s="110" t="str">
        <f>+E28</f>
        <v>Sundry materials</v>
      </c>
      <c r="T28" s="114">
        <f>+K28</f>
        <v>50</v>
      </c>
      <c r="U28" s="12"/>
      <c r="V28" s="12">
        <v>60</v>
      </c>
      <c r="W28" s="19">
        <f>ROUND(+IF(V28&gt;0,T28/V28,""),2)</f>
        <v>0.83</v>
      </c>
      <c r="X28" s="111"/>
    </row>
    <row r="29" spans="1:24" ht="12.75" hidden="1" outlineLevel="1">
      <c r="A29" s="60"/>
      <c r="B29" s="61"/>
      <c r="C29" s="64"/>
      <c r="D29" s="63"/>
      <c r="E29" s="38"/>
      <c r="F29" s="33"/>
      <c r="G29" s="34"/>
      <c r="H29" s="39"/>
      <c r="I29" s="39"/>
      <c r="J29" s="36">
        <f>IF(+I29+H29&gt;0,I29+(H29*labour),"")</f>
      </c>
      <c r="K29" s="37">
        <f t="shared" si="0"/>
      </c>
      <c r="L29" s="31"/>
      <c r="M29" s="33"/>
      <c r="N29" s="34"/>
      <c r="O29" s="36"/>
      <c r="P29" s="37"/>
      <c r="Q29" s="54"/>
      <c r="S29" s="110"/>
      <c r="T29" s="114"/>
      <c r="U29" s="12"/>
      <c r="V29" s="12"/>
      <c r="W29" s="19"/>
      <c r="X29" s="111"/>
    </row>
    <row r="30" spans="1:24" ht="12.75" hidden="1" outlineLevel="1">
      <c r="A30" s="60"/>
      <c r="B30" s="61"/>
      <c r="C30" s="64"/>
      <c r="D30" s="63"/>
      <c r="E30" s="38" t="s">
        <v>362</v>
      </c>
      <c r="F30" s="33">
        <v>10</v>
      </c>
      <c r="G30" s="34" t="s">
        <v>363</v>
      </c>
      <c r="H30" s="39"/>
      <c r="I30" s="39"/>
      <c r="J30" s="36">
        <f>SUM(K17:K29)</f>
        <v>1678.2640000000001</v>
      </c>
      <c r="K30" s="37">
        <f>+J30*F30%</f>
        <v>167.82640000000004</v>
      </c>
      <c r="L30" s="31"/>
      <c r="M30" s="33"/>
      <c r="N30" s="34"/>
      <c r="O30" s="36"/>
      <c r="P30" s="37"/>
      <c r="Q30" s="54"/>
      <c r="S30" s="110"/>
      <c r="T30" s="114"/>
      <c r="U30" s="12"/>
      <c r="V30" s="12"/>
      <c r="W30" s="19"/>
      <c r="X30" s="111"/>
    </row>
    <row r="31" spans="1:24" ht="12.75" hidden="1" outlineLevel="1">
      <c r="A31" s="60"/>
      <c r="B31" s="61"/>
      <c r="C31" s="64"/>
      <c r="D31" s="63"/>
      <c r="E31" s="38"/>
      <c r="F31" s="33"/>
      <c r="G31" s="34"/>
      <c r="H31" s="39"/>
      <c r="I31" s="39"/>
      <c r="J31" s="36">
        <f>IF(+I31+H31&gt;0,I31+(H31*labour),"")</f>
      </c>
      <c r="K31" s="37">
        <f>+IF(F31="item",J31,IF(F31&lt;&gt;0,F31*J31,""))</f>
      </c>
      <c r="L31" s="31"/>
      <c r="M31" s="33"/>
      <c r="N31" s="34"/>
      <c r="O31" s="36"/>
      <c r="P31" s="37">
        <f>+IF(M31="item",O31,IF(M31&lt;&gt;0,M31*O31,""))</f>
      </c>
      <c r="Q31" s="54"/>
      <c r="S31" s="110"/>
      <c r="T31" s="12"/>
      <c r="U31" s="12"/>
      <c r="V31" s="12"/>
      <c r="W31" s="19"/>
      <c r="X31" s="111"/>
    </row>
    <row r="32" spans="1:24" ht="12.75" collapsed="1">
      <c r="A32" s="60"/>
      <c r="B32" s="61"/>
      <c r="C32" s="64"/>
      <c r="D32" s="63"/>
      <c r="E32" s="38"/>
      <c r="F32" s="33"/>
      <c r="G32" s="34"/>
      <c r="H32" s="39"/>
      <c r="I32" s="39"/>
      <c r="J32" s="36">
        <f>IF(+I32+H32&gt;0,I32+(H32*labour),"")</f>
      </c>
      <c r="K32" s="37"/>
      <c r="L32" s="31"/>
      <c r="M32" s="33"/>
      <c r="N32" s="34"/>
      <c r="O32" s="36"/>
      <c r="P32" s="37">
        <f>+IF(M32="item",O32,IF(M32&lt;&gt;0,M32*O32,""))</f>
      </c>
      <c r="Q32" s="54"/>
      <c r="S32" s="110"/>
      <c r="T32" s="12"/>
      <c r="U32" s="12"/>
      <c r="V32" s="12"/>
      <c r="W32" s="19"/>
      <c r="X32" s="111"/>
    </row>
    <row r="33" spans="1:24" ht="12.75">
      <c r="A33" s="60"/>
      <c r="B33" s="61"/>
      <c r="C33" s="64"/>
      <c r="D33" s="63"/>
      <c r="E33" s="32" t="s">
        <v>85</v>
      </c>
      <c r="F33" s="33"/>
      <c r="G33" s="34"/>
      <c r="H33" s="39"/>
      <c r="I33" s="39"/>
      <c r="J33" s="36">
        <f>IF(+I33+H33&gt;0,I33+(H33*labour),"")</f>
      </c>
      <c r="K33" s="53">
        <f>SUM(K35:K43)</f>
        <v>264.264</v>
      </c>
      <c r="L33" s="31"/>
      <c r="M33" s="33"/>
      <c r="N33" s="34"/>
      <c r="O33" s="36"/>
      <c r="P33" s="53">
        <f>SUM(P35:P42)</f>
        <v>44.5776</v>
      </c>
      <c r="Q33" s="54"/>
      <c r="S33" s="110"/>
      <c r="T33" s="12"/>
      <c r="U33" s="12"/>
      <c r="V33" s="12"/>
      <c r="W33" s="112" t="e">
        <f>SUM(W35:W42)</f>
        <v>#VALUE!</v>
      </c>
      <c r="X33" s="111"/>
    </row>
    <row r="34" spans="1:24" ht="12.75">
      <c r="A34" s="60"/>
      <c r="B34" s="61"/>
      <c r="C34" s="64"/>
      <c r="D34" s="63"/>
      <c r="E34" s="38"/>
      <c r="F34" s="33"/>
      <c r="G34" s="34"/>
      <c r="H34" s="39"/>
      <c r="I34" s="39"/>
      <c r="J34" s="36">
        <f>IF(+I34+H34&gt;0,I34+(H34*labour),"")</f>
      </c>
      <c r="K34" s="37">
        <f>+IF(F34="item",J34,IF(F34&lt;&gt;0,F34*J34,""))</f>
      </c>
      <c r="L34" s="31"/>
      <c r="M34" s="33"/>
      <c r="N34" s="34"/>
      <c r="O34" s="36"/>
      <c r="P34" s="37">
        <f>+IF(M34="item",O34,IF(M34&lt;&gt;0,M34*O34,""))</f>
      </c>
      <c r="Q34" s="54"/>
      <c r="S34" s="113" t="s">
        <v>257</v>
      </c>
      <c r="T34" s="12"/>
      <c r="U34" s="12"/>
      <c r="V34" s="12"/>
      <c r="W34" s="19"/>
      <c r="X34" s="111"/>
    </row>
    <row r="35" spans="1:24" ht="25.5" hidden="1" outlineLevel="1">
      <c r="A35" s="60"/>
      <c r="B35" s="61"/>
      <c r="C35" s="64"/>
      <c r="D35" s="63"/>
      <c r="E35" s="38" t="s">
        <v>372</v>
      </c>
      <c r="F35" s="33">
        <f>ROUND(D41,0)</f>
        <v>26</v>
      </c>
      <c r="G35" s="34" t="s">
        <v>108</v>
      </c>
      <c r="H35" s="39"/>
      <c r="I35" s="39"/>
      <c r="J35" s="36">
        <v>9.24</v>
      </c>
      <c r="K35" s="37">
        <f>+IF(F35="item",J35,IF(F35&lt;&gt;0,F35*J35,""))</f>
        <v>240.24</v>
      </c>
      <c r="L35" s="31" t="s">
        <v>373</v>
      </c>
      <c r="M35" s="33">
        <v>11</v>
      </c>
      <c r="N35" s="34" t="s">
        <v>8</v>
      </c>
      <c r="O35" s="36">
        <f>+I35</f>
        <v>0</v>
      </c>
      <c r="P35" s="37">
        <f>+IF(M35="item",O35,IF(M35&lt;&gt;0,M35*O35,""))</f>
        <v>0</v>
      </c>
      <c r="Q35" s="54" t="s">
        <v>28</v>
      </c>
      <c r="S35" s="110" t="str">
        <f>+E35</f>
        <v>Silicone sealant to metal casements</v>
      </c>
      <c r="T35" s="114">
        <f>+K35</f>
        <v>240.24</v>
      </c>
      <c r="U35" s="12"/>
      <c r="V35" s="12">
        <v>10</v>
      </c>
      <c r="W35" s="19">
        <f>ROUND(+IF(V35&gt;0,T35/V35,""),2)</f>
        <v>24.02</v>
      </c>
      <c r="X35" s="111"/>
    </row>
    <row r="36" spans="1:24" ht="12.75" hidden="1" outlineLevel="1">
      <c r="A36" s="60">
        <v>7</v>
      </c>
      <c r="B36" s="61">
        <v>2</v>
      </c>
      <c r="C36" s="135">
        <v>0.5</v>
      </c>
      <c r="D36" s="63">
        <f>+C36*B36*A36</f>
        <v>7</v>
      </c>
      <c r="E36" s="38"/>
      <c r="F36" s="33"/>
      <c r="G36" s="34"/>
      <c r="H36" s="39"/>
      <c r="I36" s="39"/>
      <c r="J36" s="36"/>
      <c r="K36" s="37"/>
      <c r="L36" s="31"/>
      <c r="M36" s="33"/>
      <c r="N36" s="34"/>
      <c r="O36" s="36"/>
      <c r="P36" s="37"/>
      <c r="Q36" s="54"/>
      <c r="S36" s="110"/>
      <c r="T36" s="12"/>
      <c r="U36" s="12"/>
      <c r="V36" s="12"/>
      <c r="W36" s="19"/>
      <c r="X36" s="111"/>
    </row>
    <row r="37" spans="1:24" ht="12.75" hidden="1" outlineLevel="1">
      <c r="A37" s="60">
        <v>7</v>
      </c>
      <c r="B37" s="61">
        <v>2</v>
      </c>
      <c r="C37" s="156">
        <v>1.2</v>
      </c>
      <c r="D37" s="63">
        <f>+C37*B37*A37</f>
        <v>16.8</v>
      </c>
      <c r="E37" s="38"/>
      <c r="F37" s="33"/>
      <c r="G37" s="34"/>
      <c r="H37" s="39"/>
      <c r="I37" s="39"/>
      <c r="J37" s="36"/>
      <c r="K37" s="37">
        <f aca="true" t="shared" si="1" ref="K37:K42">+IF(F37="item",J37,IF(F37&lt;&gt;0,F37*J37,""))</f>
      </c>
      <c r="L37" s="31" t="s">
        <v>31</v>
      </c>
      <c r="M37" s="33">
        <v>1</v>
      </c>
      <c r="N37" s="34" t="s">
        <v>8</v>
      </c>
      <c r="O37" s="36">
        <v>25</v>
      </c>
      <c r="P37" s="37">
        <f aca="true" t="shared" si="2" ref="P37:P44">+IF(M37="item",O37,IF(M37&lt;&gt;0,M37*O37,""))</f>
        <v>25</v>
      </c>
      <c r="Q37" s="54" t="s">
        <v>31</v>
      </c>
      <c r="S37" s="110">
        <f>+E37</f>
        <v>0</v>
      </c>
      <c r="T37" s="114">
        <f>+K37</f>
      </c>
      <c r="U37" s="12"/>
      <c r="V37" s="12">
        <v>10</v>
      </c>
      <c r="W37" s="19" t="e">
        <f>ROUND(+IF(V37&gt;0,T37/V37,""),2)</f>
        <v>#VALUE!</v>
      </c>
      <c r="X37" s="111"/>
    </row>
    <row r="38" spans="1:24" ht="12.75" hidden="1" outlineLevel="1">
      <c r="A38" s="60"/>
      <c r="B38" s="61">
        <v>2</v>
      </c>
      <c r="C38" s="156">
        <v>0.3</v>
      </c>
      <c r="D38" s="63">
        <f>+C38*B38</f>
        <v>0.6</v>
      </c>
      <c r="E38" s="38"/>
      <c r="F38" s="33"/>
      <c r="G38" s="34"/>
      <c r="H38" s="39"/>
      <c r="I38" s="39"/>
      <c r="J38" s="36"/>
      <c r="K38" s="37">
        <f t="shared" si="1"/>
      </c>
      <c r="L38" s="31"/>
      <c r="M38" s="33"/>
      <c r="N38" s="34"/>
      <c r="O38" s="36"/>
      <c r="P38" s="37">
        <f t="shared" si="2"/>
      </c>
      <c r="Q38" s="54"/>
      <c r="S38" s="110"/>
      <c r="T38" s="12"/>
      <c r="U38" s="12"/>
      <c r="V38" s="12"/>
      <c r="W38" s="19"/>
      <c r="X38" s="111"/>
    </row>
    <row r="39" spans="1:24" ht="12.75" hidden="1" outlineLevel="1">
      <c r="A39" s="60"/>
      <c r="B39" s="61">
        <v>2</v>
      </c>
      <c r="C39" s="156">
        <v>0.9</v>
      </c>
      <c r="D39" s="63">
        <f>+C39*B39</f>
        <v>1.8</v>
      </c>
      <c r="E39" s="38"/>
      <c r="F39" s="33"/>
      <c r="G39" s="34"/>
      <c r="H39" s="39"/>
      <c r="I39" s="39"/>
      <c r="J39" s="36"/>
      <c r="K39" s="37">
        <f t="shared" si="1"/>
      </c>
      <c r="L39" s="69"/>
      <c r="M39" s="33">
        <v>1</v>
      </c>
      <c r="N39" s="34" t="s">
        <v>8</v>
      </c>
      <c r="O39" s="36">
        <f>draughtdoor</f>
        <v>10.0688</v>
      </c>
      <c r="P39" s="37">
        <f t="shared" si="2"/>
        <v>10.0688</v>
      </c>
      <c r="Q39" s="96"/>
      <c r="S39" s="110">
        <f>+E39</f>
        <v>0</v>
      </c>
      <c r="T39" s="114">
        <f>+K39</f>
      </c>
      <c r="U39" s="12"/>
      <c r="V39" s="12">
        <v>10</v>
      </c>
      <c r="W39" s="19" t="e">
        <f>ROUND(+IF(V39&gt;0,T39/V39,""),2)</f>
        <v>#VALUE!</v>
      </c>
      <c r="X39" s="111"/>
    </row>
    <row r="40" spans="1:24" ht="12.75" hidden="1" outlineLevel="1">
      <c r="A40" s="60"/>
      <c r="B40" s="61"/>
      <c r="C40" s="64"/>
      <c r="D40" s="63"/>
      <c r="E40" s="38"/>
      <c r="F40" s="33"/>
      <c r="G40" s="34"/>
      <c r="H40" s="39"/>
      <c r="I40" s="39"/>
      <c r="J40" s="36"/>
      <c r="K40" s="37">
        <f t="shared" si="1"/>
      </c>
      <c r="L40" s="31"/>
      <c r="M40" s="33"/>
      <c r="N40" s="34"/>
      <c r="O40" s="36"/>
      <c r="P40" s="37">
        <f t="shared" si="2"/>
      </c>
      <c r="Q40" s="54"/>
      <c r="S40" s="110"/>
      <c r="T40" s="12"/>
      <c r="U40" s="12"/>
      <c r="V40" s="12"/>
      <c r="W40" s="19"/>
      <c r="X40" s="111"/>
    </row>
    <row r="41" spans="1:24" ht="12.75" hidden="1" outlineLevel="1">
      <c r="A41" s="60"/>
      <c r="B41" s="61"/>
      <c r="C41" s="64"/>
      <c r="D41" s="65">
        <f>SUM(D36:D40)</f>
        <v>26.200000000000003</v>
      </c>
      <c r="E41" s="38"/>
      <c r="F41" s="33"/>
      <c r="G41" s="34"/>
      <c r="H41" s="39"/>
      <c r="I41" s="39"/>
      <c r="J41" s="36"/>
      <c r="K41" s="37">
        <f t="shared" si="1"/>
      </c>
      <c r="L41" s="69"/>
      <c r="M41" s="33">
        <v>1</v>
      </c>
      <c r="N41" s="34" t="s">
        <v>8</v>
      </c>
      <c r="O41" s="39">
        <f>thresholdbrush</f>
        <v>9.5088</v>
      </c>
      <c r="P41" s="37">
        <f t="shared" si="2"/>
        <v>9.5088</v>
      </c>
      <c r="Q41" s="96"/>
      <c r="S41" s="110">
        <f>+E41</f>
        <v>0</v>
      </c>
      <c r="T41" s="114">
        <f>+K41</f>
      </c>
      <c r="U41" s="12"/>
      <c r="V41" s="12">
        <v>10</v>
      </c>
      <c r="W41" s="19" t="e">
        <f>ROUND(+IF(V41&gt;0,T41/V41,""),2)</f>
        <v>#VALUE!</v>
      </c>
      <c r="X41" s="111"/>
    </row>
    <row r="42" spans="1:24" ht="12.75" hidden="1" outlineLevel="1">
      <c r="A42" s="60"/>
      <c r="B42" s="61"/>
      <c r="C42" s="64"/>
      <c r="D42" s="63"/>
      <c r="E42" s="38"/>
      <c r="F42" s="33"/>
      <c r="G42" s="34"/>
      <c r="H42" s="39"/>
      <c r="I42" s="39"/>
      <c r="J42" s="36">
        <f>IF(+I42+H42&gt;0,I42+(H42*labour),"")</f>
      </c>
      <c r="K42" s="37">
        <f t="shared" si="1"/>
      </c>
      <c r="L42" s="31"/>
      <c r="M42" s="33"/>
      <c r="N42" s="34"/>
      <c r="O42" s="36"/>
      <c r="P42" s="37">
        <f t="shared" si="2"/>
      </c>
      <c r="Q42" s="54"/>
      <c r="S42" s="110"/>
      <c r="T42" s="12"/>
      <c r="U42" s="12"/>
      <c r="V42" s="12"/>
      <c r="W42" s="19"/>
      <c r="X42" s="111"/>
    </row>
    <row r="43" spans="1:24" ht="12.75" hidden="1" outlineLevel="1">
      <c r="A43" s="60"/>
      <c r="B43" s="61"/>
      <c r="C43" s="64"/>
      <c r="D43" s="63"/>
      <c r="E43" s="38" t="s">
        <v>362</v>
      </c>
      <c r="F43" s="33">
        <v>10</v>
      </c>
      <c r="G43" s="34" t="s">
        <v>363</v>
      </c>
      <c r="H43" s="39"/>
      <c r="I43" s="39"/>
      <c r="J43" s="36">
        <f>SUM(K35:K42)</f>
        <v>240.24</v>
      </c>
      <c r="K43" s="37">
        <f>+J43*F43%</f>
        <v>24.024</v>
      </c>
      <c r="L43" s="31"/>
      <c r="M43" s="33"/>
      <c r="N43" s="34"/>
      <c r="O43" s="36"/>
      <c r="P43" s="37">
        <f t="shared" si="2"/>
      </c>
      <c r="Q43" s="54"/>
      <c r="S43" s="110"/>
      <c r="T43" s="12"/>
      <c r="U43" s="12"/>
      <c r="V43" s="12"/>
      <c r="W43" s="19"/>
      <c r="X43" s="111"/>
    </row>
    <row r="44" spans="1:24" ht="12.75" collapsed="1">
      <c r="A44" s="60"/>
      <c r="B44" s="61"/>
      <c r="C44" s="64"/>
      <c r="D44" s="63"/>
      <c r="E44" s="38"/>
      <c r="F44" s="33"/>
      <c r="G44" s="34"/>
      <c r="H44" s="39"/>
      <c r="I44" s="39"/>
      <c r="J44" s="36">
        <f>IF(+I44+H44&gt;0,I44+(H44*labour),"")</f>
      </c>
      <c r="K44" s="37">
        <f>+IF(F44="item",J44,IF(F44&lt;&gt;0,F44*J44,""))</f>
      </c>
      <c r="L44" s="31"/>
      <c r="M44" s="33"/>
      <c r="N44" s="34"/>
      <c r="O44" s="36"/>
      <c r="P44" s="37">
        <f t="shared" si="2"/>
      </c>
      <c r="Q44" s="54"/>
      <c r="S44" s="110"/>
      <c r="T44" s="12"/>
      <c r="U44" s="12"/>
      <c r="V44" s="12"/>
      <c r="W44" s="19"/>
      <c r="X44" s="111"/>
    </row>
    <row r="45" spans="1:24" ht="12.75">
      <c r="A45" s="60"/>
      <c r="B45" s="61"/>
      <c r="C45" s="64"/>
      <c r="D45" s="63"/>
      <c r="E45" s="32" t="s">
        <v>86</v>
      </c>
      <c r="F45" s="33"/>
      <c r="G45" s="34"/>
      <c r="H45" s="35"/>
      <c r="I45" s="35"/>
      <c r="J45" s="36"/>
      <c r="K45" s="53">
        <f>SUM(K47:K54)</f>
        <v>129.09600000000006</v>
      </c>
      <c r="L45" s="31"/>
      <c r="M45" s="33"/>
      <c r="N45" s="34"/>
      <c r="O45" s="36"/>
      <c r="P45" s="53">
        <f>SUM(P47:P54)</f>
        <v>87.36000000000001</v>
      </c>
      <c r="Q45" s="54"/>
      <c r="S45" s="110"/>
      <c r="T45" s="12"/>
      <c r="U45" s="12"/>
      <c r="V45" s="12"/>
      <c r="W45" s="112">
        <f>SUM(W47:W51)</f>
        <v>11.73</v>
      </c>
      <c r="X45" s="111"/>
    </row>
    <row r="46" spans="1:24" ht="12.75">
      <c r="A46" s="60"/>
      <c r="B46" s="61"/>
      <c r="C46" s="64"/>
      <c r="D46" s="63"/>
      <c r="E46" s="32"/>
      <c r="F46" s="33"/>
      <c r="G46" s="34"/>
      <c r="H46" s="35"/>
      <c r="I46" s="35"/>
      <c r="J46" s="36"/>
      <c r="K46" s="37">
        <f>+IF(F46="item",J46,IF(F46&lt;&gt;0,F46*J46,""))</f>
      </c>
      <c r="L46" s="31"/>
      <c r="M46" s="33"/>
      <c r="N46" s="34"/>
      <c r="O46" s="36"/>
      <c r="P46" s="37"/>
      <c r="Q46" s="54"/>
      <c r="S46" s="110"/>
      <c r="T46" s="12"/>
      <c r="U46" s="12"/>
      <c r="V46" s="12"/>
      <c r="W46" s="19"/>
      <c r="X46" s="111"/>
    </row>
    <row r="47" spans="1:24" ht="38.25" hidden="1" outlineLevel="1">
      <c r="A47" s="60"/>
      <c r="B47" s="61"/>
      <c r="C47" s="64"/>
      <c r="D47" s="63"/>
      <c r="E47" s="38" t="s">
        <v>17</v>
      </c>
      <c r="F47" s="33"/>
      <c r="G47" s="34"/>
      <c r="H47" s="35"/>
      <c r="I47" s="35"/>
      <c r="J47" s="36"/>
      <c r="K47" s="37"/>
      <c r="L47" s="54" t="s">
        <v>22</v>
      </c>
      <c r="M47" s="33"/>
      <c r="N47" s="34"/>
      <c r="O47" s="36"/>
      <c r="P47" s="37"/>
      <c r="Q47" s="54" t="s">
        <v>22</v>
      </c>
      <c r="S47" s="110"/>
      <c r="T47" s="12"/>
      <c r="U47" s="12"/>
      <c r="V47" s="12"/>
      <c r="W47" s="19"/>
      <c r="X47" s="111"/>
    </row>
    <row r="48" spans="1:24" ht="12.75" hidden="1" outlineLevel="1">
      <c r="A48" s="60"/>
      <c r="B48" s="61"/>
      <c r="C48" s="64"/>
      <c r="D48" s="63"/>
      <c r="E48" s="32"/>
      <c r="F48" s="33"/>
      <c r="G48" s="34"/>
      <c r="H48" s="35"/>
      <c r="I48" s="35"/>
      <c r="J48" s="36"/>
      <c r="K48" s="37"/>
      <c r="L48" s="31"/>
      <c r="M48" s="33"/>
      <c r="N48" s="34"/>
      <c r="O48" s="36"/>
      <c r="P48" s="37"/>
      <c r="Q48" s="54"/>
      <c r="S48" s="113" t="s">
        <v>257</v>
      </c>
      <c r="T48" s="12"/>
      <c r="U48" s="12"/>
      <c r="V48" s="12"/>
      <c r="W48" s="19"/>
      <c r="X48" s="111"/>
    </row>
    <row r="49" spans="1:24" ht="39.75" customHeight="1" hidden="1" outlineLevel="1">
      <c r="A49" s="60"/>
      <c r="B49" s="61"/>
      <c r="C49" s="64"/>
      <c r="D49" s="63"/>
      <c r="E49" s="52" t="s">
        <v>18</v>
      </c>
      <c r="F49" s="33">
        <v>14</v>
      </c>
      <c r="G49" s="34" t="s">
        <v>8</v>
      </c>
      <c r="H49" s="39">
        <v>0.05</v>
      </c>
      <c r="I49" s="39">
        <f>bulb</f>
        <v>3.3600000000000008</v>
      </c>
      <c r="J49" s="36">
        <f>IF(+I49+H49&gt;0,I49+(H49*labour),"")</f>
        <v>4.860000000000001</v>
      </c>
      <c r="K49" s="37">
        <f>+IF(F49="item",J49,IF(F49&lt;&gt;0,F49*J49,""))</f>
        <v>68.04000000000002</v>
      </c>
      <c r="L49" s="31" t="s">
        <v>374</v>
      </c>
      <c r="M49" s="33">
        <f>+F49</f>
        <v>14</v>
      </c>
      <c r="N49" s="34" t="s">
        <v>8</v>
      </c>
      <c r="O49" s="36">
        <f>bulb</f>
        <v>3.3600000000000008</v>
      </c>
      <c r="P49" s="37">
        <f>+IF(M49="item",O49,IF(M49&lt;&gt;0,M49*O49,""))</f>
        <v>47.04000000000001</v>
      </c>
      <c r="Q49" s="54" t="s">
        <v>21</v>
      </c>
      <c r="S49" s="110" t="str">
        <f>+E49</f>
        <v>Pendants/ standard and table lamps</v>
      </c>
      <c r="T49" s="114">
        <f>+K49</f>
        <v>68.04000000000002</v>
      </c>
      <c r="U49" s="12"/>
      <c r="V49" s="12">
        <v>10</v>
      </c>
      <c r="W49" s="19">
        <f>ROUND(+IF(V49&gt;0,T49/V49,""),2)</f>
        <v>6.8</v>
      </c>
      <c r="X49" s="111"/>
    </row>
    <row r="50" spans="1:24" ht="12.75" hidden="1" outlineLevel="1">
      <c r="A50" s="60"/>
      <c r="B50" s="61"/>
      <c r="C50" s="64"/>
      <c r="D50" s="63"/>
      <c r="E50" s="52"/>
      <c r="F50" s="33"/>
      <c r="G50" s="34"/>
      <c r="H50" s="39"/>
      <c r="I50" s="39"/>
      <c r="J50" s="36"/>
      <c r="K50" s="37"/>
      <c r="L50" s="31"/>
      <c r="M50" s="33"/>
      <c r="N50" s="34"/>
      <c r="O50" s="36"/>
      <c r="P50" s="37"/>
      <c r="Q50" s="54"/>
      <c r="S50" s="110"/>
      <c r="T50" s="114"/>
      <c r="U50" s="12"/>
      <c r="V50" s="12"/>
      <c r="W50" s="19"/>
      <c r="X50" s="111"/>
    </row>
    <row r="51" spans="1:24" ht="12.75" hidden="1" outlineLevel="1">
      <c r="A51" s="60"/>
      <c r="B51" s="61"/>
      <c r="C51" s="64"/>
      <c r="D51" s="63"/>
      <c r="E51" s="52" t="s">
        <v>19</v>
      </c>
      <c r="F51" s="33">
        <v>6</v>
      </c>
      <c r="G51" s="34" t="s">
        <v>8</v>
      </c>
      <c r="H51" s="39">
        <v>0.05</v>
      </c>
      <c r="I51" s="39">
        <f>spot</f>
        <v>6.7200000000000015</v>
      </c>
      <c r="J51" s="36">
        <f>IF(+I51+H51&gt;0,I51+(H51*labour),"")</f>
        <v>8.220000000000002</v>
      </c>
      <c r="K51" s="37">
        <f>+IF(F51="item",J51,IF(F51&lt;&gt;0,F51*J51,""))</f>
        <v>49.320000000000014</v>
      </c>
      <c r="L51" s="31" t="s">
        <v>20</v>
      </c>
      <c r="M51" s="33">
        <f>+F51</f>
        <v>6</v>
      </c>
      <c r="N51" s="34" t="s">
        <v>8</v>
      </c>
      <c r="O51" s="36">
        <f>spot</f>
        <v>6.7200000000000015</v>
      </c>
      <c r="P51" s="37">
        <f>+IF(M51="item",O51,IF(M51&lt;&gt;0,M51*O51,""))</f>
        <v>40.32000000000001</v>
      </c>
      <c r="Q51" s="54" t="s">
        <v>20</v>
      </c>
      <c r="S51" s="110" t="str">
        <f>+E51</f>
        <v>GU10 spot lamps</v>
      </c>
      <c r="T51" s="114">
        <f>+K51</f>
        <v>49.320000000000014</v>
      </c>
      <c r="U51" s="12"/>
      <c r="V51" s="12">
        <v>10</v>
      </c>
      <c r="W51" s="19">
        <f>ROUND(+IF(V51&gt;0,T51/V51,""),2)</f>
        <v>4.93</v>
      </c>
      <c r="X51" s="111"/>
    </row>
    <row r="52" spans="1:24" ht="12.75" hidden="1" outlineLevel="1">
      <c r="A52" s="60"/>
      <c r="B52" s="61"/>
      <c r="C52" s="64"/>
      <c r="D52" s="63"/>
      <c r="E52" s="52"/>
      <c r="F52" s="33"/>
      <c r="G52" s="34"/>
      <c r="H52" s="39"/>
      <c r="I52" s="39"/>
      <c r="J52" s="36"/>
      <c r="K52" s="37"/>
      <c r="L52" s="31"/>
      <c r="M52" s="33"/>
      <c r="N52" s="34"/>
      <c r="O52" s="36"/>
      <c r="P52" s="37"/>
      <c r="Q52" s="54"/>
      <c r="S52" s="110"/>
      <c r="T52" s="114"/>
      <c r="U52" s="12"/>
      <c r="V52" s="12"/>
      <c r="W52" s="19"/>
      <c r="X52" s="111"/>
    </row>
    <row r="53" spans="1:24" ht="12.75" hidden="1" outlineLevel="1">
      <c r="A53" s="60"/>
      <c r="B53" s="61"/>
      <c r="C53" s="64"/>
      <c r="D53" s="63"/>
      <c r="E53" s="38" t="s">
        <v>362</v>
      </c>
      <c r="F53" s="33">
        <v>10</v>
      </c>
      <c r="G53" s="34" t="s">
        <v>363</v>
      </c>
      <c r="H53" s="39"/>
      <c r="I53" s="39"/>
      <c r="J53" s="36">
        <f>SUM(K47:K51)</f>
        <v>117.36000000000004</v>
      </c>
      <c r="K53" s="37">
        <f>+J53*F53%</f>
        <v>11.736000000000004</v>
      </c>
      <c r="L53" s="31"/>
      <c r="M53" s="33"/>
      <c r="N53" s="34"/>
      <c r="O53" s="36"/>
      <c r="P53" s="37"/>
      <c r="Q53" s="54"/>
      <c r="S53" s="110"/>
      <c r="T53" s="114"/>
      <c r="U53" s="12"/>
      <c r="V53" s="12"/>
      <c r="W53" s="19"/>
      <c r="X53" s="111"/>
    </row>
    <row r="54" spans="1:24" ht="12.75" hidden="1" outlineLevel="1">
      <c r="A54" s="60"/>
      <c r="B54" s="61"/>
      <c r="C54" s="64"/>
      <c r="D54" s="63"/>
      <c r="E54" s="38"/>
      <c r="F54" s="33"/>
      <c r="G54" s="34"/>
      <c r="H54" s="39"/>
      <c r="I54" s="39"/>
      <c r="J54" s="36">
        <f aca="true" t="shared" si="3" ref="J54:J64">IF(+I54+H54&gt;0,I54+(H54*labour),"")</f>
      </c>
      <c r="K54" s="37">
        <f>+IF(F54="item",J54,IF(F54&lt;&gt;0,F54*J54,""))</f>
      </c>
      <c r="L54" s="31"/>
      <c r="M54" s="33"/>
      <c r="N54" s="34"/>
      <c r="O54" s="36"/>
      <c r="P54" s="37">
        <f aca="true" t="shared" si="4" ref="P54:P64">+IF(M54="item",O54,IF(M54&lt;&gt;0,M54*O54,""))</f>
      </c>
      <c r="Q54" s="54"/>
      <c r="S54" s="110"/>
      <c r="T54" s="114"/>
      <c r="U54" s="12"/>
      <c r="V54" s="12"/>
      <c r="W54" s="19"/>
      <c r="X54" s="111"/>
    </row>
    <row r="55" spans="1:24" ht="12.75" collapsed="1">
      <c r="A55" s="60"/>
      <c r="B55" s="61"/>
      <c r="C55" s="64"/>
      <c r="D55" s="63"/>
      <c r="E55" s="38"/>
      <c r="F55" s="33"/>
      <c r="G55" s="34"/>
      <c r="H55" s="39"/>
      <c r="I55" s="39"/>
      <c r="J55" s="36">
        <f t="shared" si="3"/>
      </c>
      <c r="K55" s="37">
        <f>+IF(F55="item",J55,IF(F55&lt;&gt;0,F55*J55,""))</f>
      </c>
      <c r="L55" s="31"/>
      <c r="M55" s="33"/>
      <c r="N55" s="34"/>
      <c r="O55" s="36"/>
      <c r="P55" s="37">
        <f t="shared" si="4"/>
      </c>
      <c r="Q55" s="54"/>
      <c r="S55" s="110"/>
      <c r="T55" s="12"/>
      <c r="U55" s="12"/>
      <c r="V55" s="12"/>
      <c r="W55" s="19"/>
      <c r="X55" s="111"/>
    </row>
    <row r="56" spans="1:24" ht="39" customHeight="1">
      <c r="A56" s="60"/>
      <c r="B56" s="61"/>
      <c r="C56" s="64"/>
      <c r="D56" s="63"/>
      <c r="E56" s="32" t="s">
        <v>87</v>
      </c>
      <c r="F56" s="33"/>
      <c r="G56" s="34"/>
      <c r="H56" s="39"/>
      <c r="I56" s="39"/>
      <c r="J56" s="36">
        <f t="shared" si="3"/>
      </c>
      <c r="K56" s="53">
        <f>SUM(K58:K66)</f>
        <v>1928.9606875</v>
      </c>
      <c r="L56" s="31" t="s">
        <v>54</v>
      </c>
      <c r="M56" s="72"/>
      <c r="N56" s="73"/>
      <c r="O56" s="74"/>
      <c r="P56" s="75">
        <f t="shared" si="4"/>
      </c>
      <c r="Q56" s="76"/>
      <c r="S56" s="110"/>
      <c r="T56" s="12"/>
      <c r="U56" s="12"/>
      <c r="V56" s="12"/>
      <c r="W56" s="112">
        <f>SUM(W57:W66)</f>
        <v>49.019999999999996</v>
      </c>
      <c r="X56" s="111"/>
    </row>
    <row r="57" spans="1:24" ht="12.75" hidden="1" outlineLevel="1">
      <c r="A57" s="60"/>
      <c r="B57" s="61"/>
      <c r="C57" s="64"/>
      <c r="D57" s="63"/>
      <c r="E57" s="38"/>
      <c r="F57" s="33"/>
      <c r="G57" s="34"/>
      <c r="H57" s="39"/>
      <c r="I57" s="39"/>
      <c r="J57" s="36">
        <f t="shared" si="3"/>
      </c>
      <c r="K57" s="37">
        <f aca="true" t="shared" si="5" ref="K57:K64">+IF(F57="item",J57,IF(F57&lt;&gt;0,F57*J57,""))</f>
      </c>
      <c r="L57" s="31"/>
      <c r="M57" s="72"/>
      <c r="N57" s="73"/>
      <c r="O57" s="74"/>
      <c r="P57" s="75">
        <f t="shared" si="4"/>
      </c>
      <c r="Q57" s="76"/>
      <c r="S57" s="113" t="s">
        <v>257</v>
      </c>
      <c r="T57" s="12"/>
      <c r="U57" s="12"/>
      <c r="V57" s="12"/>
      <c r="W57" s="19"/>
      <c r="X57" s="111"/>
    </row>
    <row r="58" spans="1:24" ht="12.75" hidden="1" outlineLevel="1">
      <c r="A58" s="60"/>
      <c r="B58" s="61"/>
      <c r="C58" s="64"/>
      <c r="D58" s="65"/>
      <c r="E58" s="38" t="s">
        <v>51</v>
      </c>
      <c r="F58" s="33">
        <v>1</v>
      </c>
      <c r="G58" s="34" t="s">
        <v>8</v>
      </c>
      <c r="H58" s="39">
        <v>3</v>
      </c>
      <c r="I58" s="39">
        <f>prog</f>
        <v>73.70812499999998</v>
      </c>
      <c r="J58" s="36">
        <f t="shared" si="3"/>
        <v>163.708125</v>
      </c>
      <c r="K58" s="37">
        <f t="shared" si="5"/>
        <v>163.708125</v>
      </c>
      <c r="L58" s="31" t="s">
        <v>258</v>
      </c>
      <c r="M58" s="72"/>
      <c r="N58" s="73"/>
      <c r="O58" s="74"/>
      <c r="P58" s="75">
        <f t="shared" si="4"/>
      </c>
      <c r="Q58" s="76"/>
      <c r="S58" s="110" t="str">
        <f>+E58</f>
        <v>Two zone heating controller</v>
      </c>
      <c r="T58" s="114">
        <f>+K58</f>
        <v>163.708125</v>
      </c>
      <c r="U58" s="12"/>
      <c r="V58" s="12">
        <v>20</v>
      </c>
      <c r="W58" s="19">
        <f>ROUND(+IF(V58&gt;0,T58/V58,""),2)</f>
        <v>8.19</v>
      </c>
      <c r="X58" s="111"/>
    </row>
    <row r="59" spans="1:24" ht="12.75" hidden="1" outlineLevel="1">
      <c r="A59" s="60"/>
      <c r="B59" s="61"/>
      <c r="C59" s="64"/>
      <c r="D59" s="63"/>
      <c r="E59" s="38"/>
      <c r="F59" s="33"/>
      <c r="G59" s="34"/>
      <c r="H59" s="39"/>
      <c r="I59" s="39"/>
      <c r="J59" s="36">
        <f t="shared" si="3"/>
      </c>
      <c r="K59" s="37">
        <f t="shared" si="5"/>
      </c>
      <c r="L59" s="31"/>
      <c r="M59" s="72"/>
      <c r="N59" s="73"/>
      <c r="O59" s="74"/>
      <c r="P59" s="75">
        <f t="shared" si="4"/>
      </c>
      <c r="Q59" s="76"/>
      <c r="S59" s="110"/>
      <c r="T59" s="12"/>
      <c r="U59" s="12"/>
      <c r="V59" s="12"/>
      <c r="W59" s="19"/>
      <c r="X59" s="111"/>
    </row>
    <row r="60" spans="1:24" ht="12.75" hidden="1" outlineLevel="1">
      <c r="A60" s="60"/>
      <c r="B60" s="61"/>
      <c r="C60" s="64"/>
      <c r="D60" s="63"/>
      <c r="E60" s="38" t="s">
        <v>52</v>
      </c>
      <c r="F60" s="33">
        <v>6</v>
      </c>
      <c r="G60" s="34" t="s">
        <v>8</v>
      </c>
      <c r="H60" s="39">
        <v>0.5</v>
      </c>
      <c r="I60" s="39">
        <f>TRV</f>
        <v>11.66125</v>
      </c>
      <c r="J60" s="36">
        <f t="shared" si="3"/>
        <v>26.661250000000003</v>
      </c>
      <c r="K60" s="37">
        <f t="shared" si="5"/>
        <v>159.96750000000003</v>
      </c>
      <c r="L60" s="31"/>
      <c r="M60" s="72"/>
      <c r="N60" s="73"/>
      <c r="O60" s="74"/>
      <c r="P60" s="75">
        <f t="shared" si="4"/>
      </c>
      <c r="Q60" s="76"/>
      <c r="S60" s="110" t="str">
        <f>+E60</f>
        <v>Thermostatic radiator valves</v>
      </c>
      <c r="T60" s="114">
        <f>+K60</f>
        <v>159.96750000000003</v>
      </c>
      <c r="U60" s="12"/>
      <c r="V60" s="12">
        <v>10</v>
      </c>
      <c r="W60" s="19">
        <f>ROUND(+IF(V60&gt;0,T60/V60,""),2)</f>
        <v>16</v>
      </c>
      <c r="X60" s="111"/>
    </row>
    <row r="61" spans="1:24" ht="12.75" hidden="1" outlineLevel="1">
      <c r="A61" s="60"/>
      <c r="B61" s="61"/>
      <c r="C61" s="64"/>
      <c r="D61" s="63"/>
      <c r="E61" s="38"/>
      <c r="F61" s="33"/>
      <c r="G61" s="34"/>
      <c r="H61" s="39"/>
      <c r="I61" s="39"/>
      <c r="J61" s="36">
        <f t="shared" si="3"/>
      </c>
      <c r="K61" s="37">
        <f t="shared" si="5"/>
      </c>
      <c r="L61" s="31"/>
      <c r="M61" s="72"/>
      <c r="N61" s="73"/>
      <c r="O61" s="74"/>
      <c r="P61" s="75">
        <f t="shared" si="4"/>
      </c>
      <c r="Q61" s="76"/>
      <c r="S61" s="110"/>
      <c r="T61" s="12"/>
      <c r="U61" s="12"/>
      <c r="V61" s="12"/>
      <c r="W61" s="19"/>
      <c r="X61" s="111"/>
    </row>
    <row r="62" spans="1:24" ht="12.75" hidden="1" outlineLevel="1">
      <c r="A62" s="60"/>
      <c r="B62" s="61"/>
      <c r="C62" s="64"/>
      <c r="D62" s="63"/>
      <c r="E62" s="38" t="s">
        <v>53</v>
      </c>
      <c r="F62" s="33">
        <v>1</v>
      </c>
      <c r="G62" s="34" t="s">
        <v>8</v>
      </c>
      <c r="H62" s="39">
        <v>0.5</v>
      </c>
      <c r="I62" s="39">
        <f>tankstat</f>
        <v>14.924999999999999</v>
      </c>
      <c r="J62" s="36">
        <f t="shared" si="3"/>
        <v>29.924999999999997</v>
      </c>
      <c r="K62" s="37">
        <f t="shared" si="5"/>
        <v>29.924999999999997</v>
      </c>
      <c r="L62" s="31"/>
      <c r="M62" s="72"/>
      <c r="N62" s="73"/>
      <c r="O62" s="74"/>
      <c r="P62" s="75">
        <f t="shared" si="4"/>
      </c>
      <c r="Q62" s="76"/>
      <c r="S62" s="110" t="str">
        <f>+E62</f>
        <v>Thermostatic control to hot water tank</v>
      </c>
      <c r="T62" s="114">
        <f>+K62</f>
        <v>29.924999999999997</v>
      </c>
      <c r="U62" s="12"/>
      <c r="V62" s="12">
        <v>20</v>
      </c>
      <c r="W62" s="19">
        <f>ROUND(+IF(V62&gt;0,T62/V62,""),2)</f>
        <v>1.5</v>
      </c>
      <c r="X62" s="111"/>
    </row>
    <row r="63" spans="1:24" ht="12.75" hidden="1" outlineLevel="1">
      <c r="A63" s="60"/>
      <c r="B63" s="61"/>
      <c r="C63" s="64"/>
      <c r="D63" s="63"/>
      <c r="E63" s="38"/>
      <c r="F63" s="33"/>
      <c r="G63" s="34"/>
      <c r="H63" s="39"/>
      <c r="I63" s="39"/>
      <c r="J63" s="36">
        <f t="shared" si="3"/>
      </c>
      <c r="K63" s="37">
        <f t="shared" si="5"/>
      </c>
      <c r="L63" s="31"/>
      <c r="M63" s="72"/>
      <c r="N63" s="73"/>
      <c r="O63" s="74"/>
      <c r="P63" s="75">
        <f t="shared" si="4"/>
      </c>
      <c r="Q63" s="76"/>
      <c r="S63" s="110"/>
      <c r="T63" s="12"/>
      <c r="U63" s="12"/>
      <c r="V63" s="12"/>
      <c r="W63" s="19"/>
      <c r="X63" s="111"/>
    </row>
    <row r="64" spans="1:24" ht="25.5" hidden="1" outlineLevel="1">
      <c r="A64" s="60"/>
      <c r="B64" s="61"/>
      <c r="C64" s="64"/>
      <c r="D64" s="63"/>
      <c r="E64" s="38" t="s">
        <v>259</v>
      </c>
      <c r="F64" s="33" t="s">
        <v>1</v>
      </c>
      <c r="G64" s="34"/>
      <c r="H64" s="39">
        <v>40</v>
      </c>
      <c r="I64" s="39">
        <v>200</v>
      </c>
      <c r="J64" s="36">
        <f t="shared" si="3"/>
        <v>1400</v>
      </c>
      <c r="K64" s="37">
        <f t="shared" si="5"/>
        <v>1400</v>
      </c>
      <c r="L64" s="31" t="s">
        <v>260</v>
      </c>
      <c r="M64" s="72"/>
      <c r="N64" s="73"/>
      <c r="O64" s="74"/>
      <c r="P64" s="75">
        <f t="shared" si="4"/>
      </c>
      <c r="Q64" s="76"/>
      <c r="S64" s="110" t="str">
        <f>+E64</f>
        <v>Conversion to two zone heating</v>
      </c>
      <c r="T64" s="114">
        <f>+K64</f>
        <v>1400</v>
      </c>
      <c r="U64" s="12"/>
      <c r="V64" s="12">
        <v>60</v>
      </c>
      <c r="W64" s="19">
        <f>ROUND(+IF(V64&gt;0,T64/V64,""),2)</f>
        <v>23.33</v>
      </c>
      <c r="X64" s="111"/>
    </row>
    <row r="65" spans="1:24" ht="12.75" hidden="1" outlineLevel="1">
      <c r="A65" s="60"/>
      <c r="B65" s="61"/>
      <c r="C65" s="64"/>
      <c r="D65" s="63"/>
      <c r="E65" s="38"/>
      <c r="F65" s="33"/>
      <c r="G65" s="34"/>
      <c r="H65" s="39"/>
      <c r="I65" s="39"/>
      <c r="J65" s="36"/>
      <c r="K65" s="37"/>
      <c r="L65" s="31"/>
      <c r="M65" s="72"/>
      <c r="N65" s="73"/>
      <c r="O65" s="74"/>
      <c r="P65" s="75"/>
      <c r="Q65" s="76"/>
      <c r="S65" s="110"/>
      <c r="T65" s="114"/>
      <c r="U65" s="12"/>
      <c r="V65" s="12"/>
      <c r="W65" s="19"/>
      <c r="X65" s="111"/>
    </row>
    <row r="66" spans="1:24" ht="12.75" hidden="1" outlineLevel="1">
      <c r="A66" s="60"/>
      <c r="B66" s="61"/>
      <c r="C66" s="64"/>
      <c r="D66" s="63"/>
      <c r="E66" s="38" t="s">
        <v>362</v>
      </c>
      <c r="F66" s="33">
        <v>10</v>
      </c>
      <c r="G66" s="34" t="s">
        <v>363</v>
      </c>
      <c r="H66" s="39"/>
      <c r="I66" s="39"/>
      <c r="J66" s="36">
        <f>SUM(K57:K65)</f>
        <v>1753.600625</v>
      </c>
      <c r="K66" s="37">
        <f>+J66*F66%</f>
        <v>175.36006250000003</v>
      </c>
      <c r="L66" s="31"/>
      <c r="M66" s="72"/>
      <c r="N66" s="73"/>
      <c r="O66" s="74"/>
      <c r="P66" s="75">
        <f>+IF(M66="item",O66,IF(M66&lt;&gt;0,M66*O66,""))</f>
      </c>
      <c r="Q66" s="76"/>
      <c r="S66" s="110"/>
      <c r="T66" s="12"/>
      <c r="U66" s="12"/>
      <c r="V66" s="12"/>
      <c r="W66" s="19"/>
      <c r="X66" s="111"/>
    </row>
    <row r="67" spans="1:24" ht="12.75" collapsed="1">
      <c r="A67" s="60"/>
      <c r="B67" s="61"/>
      <c r="C67" s="64"/>
      <c r="D67" s="63"/>
      <c r="E67" s="38"/>
      <c r="F67" s="33"/>
      <c r="G67" s="34"/>
      <c r="H67" s="39"/>
      <c r="I67" s="39"/>
      <c r="J67" s="36">
        <f>IF(+I67+H67&gt;0,I67+(H67*labour),"")</f>
      </c>
      <c r="K67" s="37">
        <f>+IF(F67="item",J67,IF(F67&lt;&gt;0,F67*J67,""))</f>
      </c>
      <c r="L67" s="31"/>
      <c r="M67" s="33"/>
      <c r="N67" s="34"/>
      <c r="O67" s="36"/>
      <c r="P67" s="37">
        <f>+IF(M67="item",O67,IF(M67&lt;&gt;0,M67*O67,""))</f>
      </c>
      <c r="Q67" s="54"/>
      <c r="S67" s="110"/>
      <c r="T67" s="12"/>
      <c r="U67" s="12"/>
      <c r="V67" s="12"/>
      <c r="W67" s="19"/>
      <c r="X67" s="111"/>
    </row>
    <row r="68" spans="1:24" ht="12.75">
      <c r="A68" s="60"/>
      <c r="B68" s="61"/>
      <c r="C68" s="64"/>
      <c r="D68" s="63"/>
      <c r="E68" s="38"/>
      <c r="F68" s="33"/>
      <c r="G68" s="34"/>
      <c r="H68" s="39"/>
      <c r="I68" s="39"/>
      <c r="J68" s="36">
        <f>IF(+I68+H68&gt;0,I68+(H68*labour),"")</f>
      </c>
      <c r="K68" s="37">
        <f>+IF(F68="item",J68,IF(F68&lt;&gt;0,F68*J68,""))</f>
      </c>
      <c r="L68" s="31"/>
      <c r="M68" s="33"/>
      <c r="N68" s="34"/>
      <c r="O68" s="36"/>
      <c r="P68" s="37">
        <f>+IF(M68="item",O68,IF(M68&lt;&gt;0,M68*O68,""))</f>
      </c>
      <c r="Q68" s="54"/>
      <c r="S68" s="110"/>
      <c r="T68" s="12"/>
      <c r="U68" s="12"/>
      <c r="V68" s="12"/>
      <c r="W68" s="19"/>
      <c r="X68" s="111"/>
    </row>
    <row r="69" spans="1:24" ht="12.75">
      <c r="A69" s="60"/>
      <c r="B69" s="61"/>
      <c r="C69" s="64"/>
      <c r="D69" s="63"/>
      <c r="E69" s="32" t="s">
        <v>88</v>
      </c>
      <c r="F69" s="33"/>
      <c r="G69" s="34"/>
      <c r="H69" s="39"/>
      <c r="I69" s="39"/>
      <c r="J69" s="36">
        <f>IF(+I69+H69&gt;0,I69+(H69*labour),"")</f>
      </c>
      <c r="K69" s="53">
        <f>SUM(K70:K73)</f>
        <v>528</v>
      </c>
      <c r="L69" s="31"/>
      <c r="M69" s="33"/>
      <c r="N69" s="34"/>
      <c r="O69" s="36"/>
      <c r="P69" s="53">
        <f>SUM(P70:P71)</f>
        <v>240</v>
      </c>
      <c r="Q69" s="54"/>
      <c r="S69" s="113" t="s">
        <v>257</v>
      </c>
      <c r="T69" s="12"/>
      <c r="U69" s="12"/>
      <c r="V69" s="12"/>
      <c r="W69" s="19">
        <f>SUM(W70:W71)</f>
        <v>48</v>
      </c>
      <c r="X69" s="111"/>
    </row>
    <row r="70" spans="1:24" ht="12.75" hidden="1" outlineLevel="1">
      <c r="A70" s="60"/>
      <c r="B70" s="61"/>
      <c r="C70" s="64"/>
      <c r="D70" s="63"/>
      <c r="E70" s="38"/>
      <c r="F70" s="33"/>
      <c r="G70" s="34"/>
      <c r="H70" s="39"/>
      <c r="I70" s="39"/>
      <c r="J70" s="36">
        <f>IF(+I70+H70&gt;0,I70+(H70*labour),"")</f>
      </c>
      <c r="K70" s="37">
        <f>+IF(F70="item",J70,IF(F70&lt;&gt;0,F70*J70,""))</f>
      </c>
      <c r="L70" s="31"/>
      <c r="M70" s="33"/>
      <c r="N70" s="34"/>
      <c r="O70" s="36"/>
      <c r="P70" s="37">
        <f>+IF(M70="item",O70,IF(M70&lt;&gt;0,M70*O70,""))</f>
      </c>
      <c r="Q70" s="54"/>
      <c r="S70" s="110"/>
      <c r="T70" s="12"/>
      <c r="U70" s="12"/>
      <c r="V70" s="12"/>
      <c r="W70" s="19"/>
      <c r="X70" s="111"/>
    </row>
    <row r="71" spans="1:24" ht="25.5" customHeight="1" hidden="1" outlineLevel="1">
      <c r="A71" s="60"/>
      <c r="B71" s="61"/>
      <c r="C71" s="64"/>
      <c r="D71" s="63"/>
      <c r="E71" s="38" t="s">
        <v>57</v>
      </c>
      <c r="F71" s="33">
        <v>8</v>
      </c>
      <c r="G71" s="34" t="s">
        <v>8</v>
      </c>
      <c r="H71" s="39"/>
      <c r="I71" s="39"/>
      <c r="J71" s="36">
        <v>60</v>
      </c>
      <c r="K71" s="37">
        <f>+IF(F71="item",J71,IF(F71&lt;&gt;0,F71*J71,""))</f>
        <v>480</v>
      </c>
      <c r="L71" s="70" t="s">
        <v>58</v>
      </c>
      <c r="M71" s="33">
        <f>+F71</f>
        <v>8</v>
      </c>
      <c r="N71" s="34" t="s">
        <v>8</v>
      </c>
      <c r="O71" s="36">
        <v>30</v>
      </c>
      <c r="P71" s="37">
        <f>+IF(M71="item",O71,IF(M71&lt;&gt;0,M71*O71,""))</f>
        <v>240</v>
      </c>
      <c r="Q71" s="97" t="s">
        <v>58</v>
      </c>
      <c r="S71" s="110" t="str">
        <f>+E71</f>
        <v>Heavy weight thermal linings to existing curtains</v>
      </c>
      <c r="T71" s="114">
        <f>+K71</f>
        <v>480</v>
      </c>
      <c r="U71" s="12"/>
      <c r="V71" s="12">
        <v>10</v>
      </c>
      <c r="W71" s="19">
        <f>ROUND(+IF(V71&gt;0,T71/V71,""),2)</f>
        <v>48</v>
      </c>
      <c r="X71" s="111"/>
    </row>
    <row r="72" spans="1:24" ht="12.75" hidden="1" outlineLevel="1">
      <c r="A72" s="60"/>
      <c r="B72" s="61"/>
      <c r="C72" s="64"/>
      <c r="D72" s="63"/>
      <c r="E72" s="38"/>
      <c r="F72" s="33"/>
      <c r="G72" s="34"/>
      <c r="H72" s="39"/>
      <c r="I72" s="39"/>
      <c r="J72" s="36"/>
      <c r="K72" s="37"/>
      <c r="L72" s="70"/>
      <c r="M72" s="33"/>
      <c r="N72" s="34"/>
      <c r="O72" s="36"/>
      <c r="P72" s="37"/>
      <c r="Q72" s="97"/>
      <c r="S72" s="110"/>
      <c r="T72" s="114"/>
      <c r="U72" s="12"/>
      <c r="V72" s="12"/>
      <c r="W72" s="19"/>
      <c r="X72" s="111"/>
    </row>
    <row r="73" spans="1:24" ht="12.75" hidden="1" outlineLevel="1">
      <c r="A73" s="60"/>
      <c r="B73" s="61"/>
      <c r="C73" s="64"/>
      <c r="D73" s="63"/>
      <c r="E73" s="38" t="s">
        <v>362</v>
      </c>
      <c r="F73" s="33">
        <v>10</v>
      </c>
      <c r="G73" s="34" t="s">
        <v>363</v>
      </c>
      <c r="H73" s="39"/>
      <c r="I73" s="39"/>
      <c r="J73" s="36">
        <f>SUM(K71:K72)</f>
        <v>480</v>
      </c>
      <c r="K73" s="37">
        <f>+J73*F73%</f>
        <v>48</v>
      </c>
      <c r="L73" s="70"/>
      <c r="M73" s="33"/>
      <c r="N73" s="34"/>
      <c r="O73" s="36"/>
      <c r="P73" s="37"/>
      <c r="Q73" s="97"/>
      <c r="S73" s="110"/>
      <c r="T73" s="114"/>
      <c r="U73" s="12"/>
      <c r="V73" s="12"/>
      <c r="W73" s="19"/>
      <c r="X73" s="111"/>
    </row>
    <row r="74" spans="1:24" ht="12.75" collapsed="1">
      <c r="A74" s="60"/>
      <c r="B74" s="61"/>
      <c r="C74" s="64"/>
      <c r="D74" s="63"/>
      <c r="E74" s="38"/>
      <c r="F74" s="33"/>
      <c r="G74" s="34"/>
      <c r="H74" s="39"/>
      <c r="I74" s="39"/>
      <c r="J74" s="36">
        <f>IF(+I74+H74&gt;0,I74+(H74*labour),"")</f>
      </c>
      <c r="K74" s="37">
        <f>+IF(F74="item",J74,IF(F74&lt;&gt;0,F74*J74,""))</f>
      </c>
      <c r="L74" s="31"/>
      <c r="M74" s="33"/>
      <c r="N74" s="34"/>
      <c r="O74" s="36"/>
      <c r="P74" s="37">
        <f>+IF(M74="item",O74,IF(M74&lt;&gt;0,M74*O74,""))</f>
      </c>
      <c r="Q74" s="54"/>
      <c r="S74" s="110"/>
      <c r="T74" s="12"/>
      <c r="U74" s="12"/>
      <c r="V74" s="12"/>
      <c r="W74" s="19"/>
      <c r="X74" s="111"/>
    </row>
    <row r="75" spans="1:24" ht="12.75">
      <c r="A75" s="60"/>
      <c r="B75" s="61"/>
      <c r="C75" s="64"/>
      <c r="D75" s="63"/>
      <c r="E75" s="38"/>
      <c r="F75" s="33"/>
      <c r="G75" s="34"/>
      <c r="H75" s="39"/>
      <c r="I75" s="39"/>
      <c r="J75" s="36">
        <f>IF(+I75+H75&gt;0,I75+(H75*labour),"")</f>
      </c>
      <c r="K75" s="37">
        <f>+IF(F75="item",J75,IF(F75&lt;&gt;0,F75*J75,""))</f>
      </c>
      <c r="L75" s="31"/>
      <c r="M75" s="33"/>
      <c r="N75" s="34"/>
      <c r="O75" s="36"/>
      <c r="P75" s="37">
        <f>+IF(M75="item",O75,IF(M75&lt;&gt;0,M75*O75,""))</f>
      </c>
      <c r="Q75" s="54"/>
      <c r="S75" s="110"/>
      <c r="T75" s="12"/>
      <c r="U75" s="12"/>
      <c r="V75" s="12"/>
      <c r="W75" s="19"/>
      <c r="X75" s="111"/>
    </row>
    <row r="76" spans="1:24" ht="25.5">
      <c r="A76" s="60"/>
      <c r="B76" s="61"/>
      <c r="C76" s="64"/>
      <c r="D76" s="63"/>
      <c r="E76" s="32" t="s">
        <v>89</v>
      </c>
      <c r="F76" s="33"/>
      <c r="G76" s="34"/>
      <c r="H76" s="39"/>
      <c r="I76" s="39"/>
      <c r="J76" s="36">
        <f>IF(+I76+H76&gt;0,I76+(H76*labour),"")</f>
      </c>
      <c r="K76" s="53">
        <f>SUM(K77:K94)</f>
        <v>315.5196</v>
      </c>
      <c r="L76" s="31" t="s">
        <v>64</v>
      </c>
      <c r="M76" s="72"/>
      <c r="N76" s="73"/>
      <c r="O76" s="74"/>
      <c r="P76" s="75">
        <f>+IF(M76="item",O76,IF(M76&lt;&gt;0,M76*O76,""))</f>
      </c>
      <c r="Q76" s="76"/>
      <c r="S76" s="113" t="s">
        <v>257</v>
      </c>
      <c r="T76" s="12"/>
      <c r="U76" s="12"/>
      <c r="V76" s="12"/>
      <c r="W76" s="112">
        <f>SUM(W78:W95)</f>
        <v>19.12</v>
      </c>
      <c r="X76" s="111"/>
    </row>
    <row r="77" spans="1:24" ht="12.75" hidden="1" outlineLevel="1">
      <c r="A77" s="60"/>
      <c r="B77" s="61"/>
      <c r="C77" s="64"/>
      <c r="D77" s="65"/>
      <c r="E77" s="38"/>
      <c r="F77" s="33"/>
      <c r="G77" s="34"/>
      <c r="H77" s="39"/>
      <c r="I77" s="39"/>
      <c r="J77" s="36">
        <f>IF(+I77+H77&gt;0,I77+(H77*labour),"")</f>
      </c>
      <c r="K77" s="37">
        <f>+IF(F77="item",J77,IF(F77&lt;&gt;0,F77*J77,""))</f>
      </c>
      <c r="L77" s="31"/>
      <c r="M77" s="72"/>
      <c r="N77" s="73"/>
      <c r="O77" s="74"/>
      <c r="P77" s="75">
        <f>+IF(M77="item",O77,IF(M77&lt;&gt;0,M77*O77,""))</f>
      </c>
      <c r="Q77" s="76"/>
      <c r="S77" s="110"/>
      <c r="T77" s="12"/>
      <c r="U77" s="12"/>
      <c r="V77" s="12"/>
      <c r="W77" s="19"/>
      <c r="X77" s="111"/>
    </row>
    <row r="78" spans="1:24" ht="12.75" hidden="1" outlineLevel="1">
      <c r="A78" s="60"/>
      <c r="B78" s="61"/>
      <c r="C78" s="64"/>
      <c r="D78" s="63"/>
      <c r="E78" s="38" t="s">
        <v>60</v>
      </c>
      <c r="F78" s="33">
        <f>ROUND(D82,0)</f>
        <v>27</v>
      </c>
      <c r="G78" s="34" t="s">
        <v>35</v>
      </c>
      <c r="H78" s="39">
        <v>0.2</v>
      </c>
      <c r="I78" s="39"/>
      <c r="J78" s="36">
        <f>IF(+I78+H78&gt;0,I78+(H78*labour),"")</f>
        <v>6</v>
      </c>
      <c r="K78" s="37">
        <f>+IF(F78="item",J78,IF(F78&lt;&gt;0,F78*J78,""))</f>
        <v>162</v>
      </c>
      <c r="L78" s="31" t="s">
        <v>375</v>
      </c>
      <c r="M78" s="72"/>
      <c r="N78" s="73"/>
      <c r="O78" s="74"/>
      <c r="P78" s="75">
        <f>+IF(M78="item",O78,IF(M78&lt;&gt;0,M78*O78,""))</f>
      </c>
      <c r="Q78" s="76"/>
      <c r="S78" s="110" t="str">
        <f>+E78</f>
        <v>Lifting/ relaying existing carpet</v>
      </c>
      <c r="T78" s="114">
        <f>+K78</f>
        <v>162</v>
      </c>
      <c r="U78" s="12"/>
      <c r="V78" s="12">
        <v>15</v>
      </c>
      <c r="W78" s="19">
        <f>ROUND(+IF(V78&gt;0,T78/V78,""),2)</f>
        <v>10.8</v>
      </c>
      <c r="X78" s="111"/>
    </row>
    <row r="79" spans="1:24" ht="12.75" hidden="1" outlineLevel="1">
      <c r="A79" s="60"/>
      <c r="B79" s="61"/>
      <c r="C79" s="64">
        <v>5.7</v>
      </c>
      <c r="D79" s="63"/>
      <c r="E79" s="38"/>
      <c r="F79" s="33"/>
      <c r="G79" s="34"/>
      <c r="H79" s="39"/>
      <c r="I79" s="39"/>
      <c r="J79" s="36"/>
      <c r="K79" s="37"/>
      <c r="L79" s="31"/>
      <c r="M79" s="72"/>
      <c r="N79" s="73"/>
      <c r="O79" s="74"/>
      <c r="P79" s="75"/>
      <c r="Q79" s="76"/>
      <c r="S79" s="110"/>
      <c r="T79" s="114"/>
      <c r="U79" s="12"/>
      <c r="V79" s="12"/>
      <c r="W79" s="19"/>
      <c r="X79" s="111"/>
    </row>
    <row r="80" spans="1:24" ht="12.75" hidden="1" outlineLevel="1">
      <c r="A80" s="60"/>
      <c r="B80" s="61"/>
      <c r="C80" s="135">
        <v>4.7</v>
      </c>
      <c r="D80" s="63">
        <f>+C79*C80</f>
        <v>26.790000000000003</v>
      </c>
      <c r="E80" s="38"/>
      <c r="F80" s="33"/>
      <c r="G80" s="34"/>
      <c r="H80" s="39"/>
      <c r="I80" s="39"/>
      <c r="J80" s="36"/>
      <c r="K80" s="37"/>
      <c r="L80" s="31"/>
      <c r="M80" s="72"/>
      <c r="N80" s="73"/>
      <c r="O80" s="74"/>
      <c r="P80" s="75"/>
      <c r="Q80" s="76"/>
      <c r="S80" s="110"/>
      <c r="T80" s="114"/>
      <c r="U80" s="12"/>
      <c r="V80" s="12"/>
      <c r="W80" s="19"/>
      <c r="X80" s="111"/>
    </row>
    <row r="81" spans="1:24" ht="12.75" hidden="1" outlineLevel="1">
      <c r="A81" s="60"/>
      <c r="B81" s="61"/>
      <c r="C81" s="64"/>
      <c r="D81" s="63"/>
      <c r="E81" s="38"/>
      <c r="F81" s="33"/>
      <c r="G81" s="34"/>
      <c r="H81" s="39"/>
      <c r="I81" s="39"/>
      <c r="J81" s="36"/>
      <c r="K81" s="37"/>
      <c r="L81" s="31"/>
      <c r="M81" s="72"/>
      <c r="N81" s="73"/>
      <c r="O81" s="74"/>
      <c r="P81" s="75"/>
      <c r="Q81" s="76"/>
      <c r="S81" s="110"/>
      <c r="T81" s="114"/>
      <c r="U81" s="12"/>
      <c r="V81" s="12"/>
      <c r="W81" s="19"/>
      <c r="X81" s="111"/>
    </row>
    <row r="82" spans="1:24" ht="12.75" hidden="1" outlineLevel="1">
      <c r="A82" s="60"/>
      <c r="B82" s="61"/>
      <c r="C82" s="64"/>
      <c r="D82" s="65">
        <f>SUM(D79:D81)</f>
        <v>26.790000000000003</v>
      </c>
      <c r="E82" s="38"/>
      <c r="F82" s="33"/>
      <c r="G82" s="34"/>
      <c r="H82" s="39"/>
      <c r="I82" s="39"/>
      <c r="J82" s="36"/>
      <c r="K82" s="37"/>
      <c r="L82" s="31"/>
      <c r="M82" s="72"/>
      <c r="N82" s="73"/>
      <c r="O82" s="74"/>
      <c r="P82" s="75"/>
      <c r="Q82" s="76"/>
      <c r="S82" s="110"/>
      <c r="T82" s="114"/>
      <c r="U82" s="12"/>
      <c r="V82" s="12"/>
      <c r="W82" s="19"/>
      <c r="X82" s="111"/>
    </row>
    <row r="83" spans="1:24" ht="12.75" hidden="1" outlineLevel="1">
      <c r="A83" s="60"/>
      <c r="B83" s="61"/>
      <c r="C83" s="64"/>
      <c r="D83" s="63"/>
      <c r="E83" s="38"/>
      <c r="F83" s="33"/>
      <c r="G83" s="34"/>
      <c r="H83" s="39"/>
      <c r="I83" s="39"/>
      <c r="J83" s="36"/>
      <c r="K83" s="37"/>
      <c r="L83" s="31"/>
      <c r="M83" s="72"/>
      <c r="N83" s="73"/>
      <c r="O83" s="74"/>
      <c r="P83" s="75"/>
      <c r="Q83" s="76"/>
      <c r="S83" s="110"/>
      <c r="T83" s="114"/>
      <c r="U83" s="12"/>
      <c r="V83" s="12"/>
      <c r="W83" s="19"/>
      <c r="X83" s="111"/>
    </row>
    <row r="84" spans="1:24" ht="12.75" hidden="1" outlineLevel="1">
      <c r="A84" s="60"/>
      <c r="B84" s="61"/>
      <c r="C84" s="64"/>
      <c r="D84" s="63"/>
      <c r="E84" s="38"/>
      <c r="F84" s="33"/>
      <c r="G84" s="34"/>
      <c r="H84" s="39"/>
      <c r="I84" s="39"/>
      <c r="J84" s="36">
        <f>IF(+I84+H84&gt;0,I84+(H84*labour),"")</f>
      </c>
      <c r="K84" s="37">
        <f>+IF(F84="item",J84,IF(F84&lt;&gt;0,F84*J84,""))</f>
      </c>
      <c r="L84" s="31"/>
      <c r="M84" s="72"/>
      <c r="N84" s="73"/>
      <c r="O84" s="74"/>
      <c r="P84" s="75"/>
      <c r="Q84" s="76"/>
      <c r="S84" s="110"/>
      <c r="T84" s="12"/>
      <c r="U84" s="12"/>
      <c r="V84" s="12"/>
      <c r="W84" s="19"/>
      <c r="X84" s="111"/>
    </row>
    <row r="85" spans="1:24" ht="12.75" hidden="1" outlineLevel="1">
      <c r="A85" s="60"/>
      <c r="B85" s="61"/>
      <c r="C85" s="64"/>
      <c r="D85" s="63"/>
      <c r="E85" s="38" t="s">
        <v>132</v>
      </c>
      <c r="F85" s="33">
        <f>ROUND(D89,0)</f>
        <v>30</v>
      </c>
      <c r="G85" s="34" t="s">
        <v>108</v>
      </c>
      <c r="H85" s="39"/>
      <c r="I85" s="39">
        <v>0.5</v>
      </c>
      <c r="J85" s="36">
        <f>IF(+I85+H85&gt;0,I85+(H85*labour),"")</f>
        <v>0.5</v>
      </c>
      <c r="K85" s="37">
        <f>+IF(F85="item",J85,IF(F85&lt;&gt;0,F85*J85,""))</f>
        <v>15</v>
      </c>
      <c r="L85" s="31"/>
      <c r="M85" s="72"/>
      <c r="N85" s="73"/>
      <c r="O85" s="74"/>
      <c r="P85" s="75"/>
      <c r="Q85" s="76"/>
      <c r="S85" s="110" t="str">
        <f>+E85</f>
        <v>Grippers</v>
      </c>
      <c r="T85" s="114">
        <f>+K85</f>
        <v>15</v>
      </c>
      <c r="U85" s="12"/>
      <c r="V85" s="12">
        <v>15</v>
      </c>
      <c r="W85" s="19">
        <f>ROUND(+IF(V85&gt;0,T85/V85,""),2)</f>
        <v>1</v>
      </c>
      <c r="X85" s="111"/>
    </row>
    <row r="86" spans="1:24" ht="12.75" hidden="1" outlineLevel="1">
      <c r="A86" s="60"/>
      <c r="B86" s="61">
        <v>2</v>
      </c>
      <c r="C86" s="64">
        <v>5.7</v>
      </c>
      <c r="D86" s="63">
        <f>+C86*B86</f>
        <v>11.4</v>
      </c>
      <c r="E86" s="38"/>
      <c r="F86" s="33"/>
      <c r="G86" s="34"/>
      <c r="H86" s="39"/>
      <c r="I86" s="39"/>
      <c r="J86" s="36"/>
      <c r="K86" s="37"/>
      <c r="L86" s="31"/>
      <c r="M86" s="72"/>
      <c r="N86" s="73"/>
      <c r="O86" s="74"/>
      <c r="P86" s="75"/>
      <c r="Q86" s="76"/>
      <c r="S86" s="110"/>
      <c r="T86" s="114"/>
      <c r="U86" s="12"/>
      <c r="V86" s="12"/>
      <c r="W86" s="19"/>
      <c r="X86" s="111"/>
    </row>
    <row r="87" spans="1:24" ht="12.75" hidden="1" outlineLevel="1">
      <c r="A87" s="60"/>
      <c r="B87" s="61">
        <v>4</v>
      </c>
      <c r="C87" s="64">
        <v>4.7</v>
      </c>
      <c r="D87" s="63">
        <f>+C87*B87</f>
        <v>18.8</v>
      </c>
      <c r="E87" s="38"/>
      <c r="F87" s="33"/>
      <c r="G87" s="34"/>
      <c r="H87" s="39"/>
      <c r="I87" s="39"/>
      <c r="J87" s="36"/>
      <c r="K87" s="37"/>
      <c r="L87" s="31"/>
      <c r="M87" s="72"/>
      <c r="N87" s="73"/>
      <c r="O87" s="74"/>
      <c r="P87" s="75"/>
      <c r="Q87" s="76"/>
      <c r="S87" s="110"/>
      <c r="T87" s="114"/>
      <c r="U87" s="12"/>
      <c r="V87" s="12"/>
      <c r="W87" s="19"/>
      <c r="X87" s="111"/>
    </row>
    <row r="88" spans="1:24" ht="12.75" hidden="1" outlineLevel="1">
      <c r="A88" s="60"/>
      <c r="B88" s="61"/>
      <c r="C88" s="64"/>
      <c r="D88" s="63"/>
      <c r="E88" s="38"/>
      <c r="F88" s="33"/>
      <c r="G88" s="34"/>
      <c r="H88" s="39"/>
      <c r="I88" s="39"/>
      <c r="J88" s="36"/>
      <c r="K88" s="37"/>
      <c r="L88" s="31"/>
      <c r="M88" s="72"/>
      <c r="N88" s="73"/>
      <c r="O88" s="74"/>
      <c r="P88" s="75"/>
      <c r="Q88" s="76"/>
      <c r="S88" s="110"/>
      <c r="T88" s="114"/>
      <c r="U88" s="12"/>
      <c r="V88" s="12"/>
      <c r="W88" s="19"/>
      <c r="X88" s="111"/>
    </row>
    <row r="89" spans="1:24" ht="12.75" hidden="1" outlineLevel="1">
      <c r="A89" s="60"/>
      <c r="B89" s="61"/>
      <c r="C89" s="64"/>
      <c r="D89" s="65">
        <f>SUM(D86:D88)</f>
        <v>30.200000000000003</v>
      </c>
      <c r="E89" s="38"/>
      <c r="F89" s="33"/>
      <c r="G89" s="34"/>
      <c r="H89" s="39"/>
      <c r="I89" s="39"/>
      <c r="J89" s="36"/>
      <c r="K89" s="37"/>
      <c r="L89" s="31"/>
      <c r="M89" s="72"/>
      <c r="N89" s="73"/>
      <c r="O89" s="74"/>
      <c r="P89" s="75"/>
      <c r="Q89" s="76"/>
      <c r="S89" s="110"/>
      <c r="T89" s="114"/>
      <c r="U89" s="12"/>
      <c r="V89" s="12"/>
      <c r="W89" s="19"/>
      <c r="X89" s="111"/>
    </row>
    <row r="90" spans="1:24" ht="12.75" hidden="1" outlineLevel="1">
      <c r="A90" s="60"/>
      <c r="B90" s="61"/>
      <c r="C90" s="64"/>
      <c r="D90" s="63"/>
      <c r="E90" s="38"/>
      <c r="F90" s="33"/>
      <c r="G90" s="34"/>
      <c r="H90" s="39"/>
      <c r="I90" s="39"/>
      <c r="J90" s="36"/>
      <c r="K90" s="37"/>
      <c r="L90" s="31"/>
      <c r="M90" s="72"/>
      <c r="N90" s="73"/>
      <c r="O90" s="74"/>
      <c r="P90" s="75"/>
      <c r="Q90" s="76"/>
      <c r="S90" s="110"/>
      <c r="T90" s="114"/>
      <c r="U90" s="12"/>
      <c r="V90" s="12"/>
      <c r="W90" s="19"/>
      <c r="X90" s="111"/>
    </row>
    <row r="91" spans="1:24" ht="12.75" hidden="1" outlineLevel="1">
      <c r="A91" s="60"/>
      <c r="B91" s="61"/>
      <c r="C91" s="64"/>
      <c r="D91" s="63"/>
      <c r="E91" s="38"/>
      <c r="F91" s="33"/>
      <c r="G91" s="34"/>
      <c r="H91" s="39"/>
      <c r="I91" s="39"/>
      <c r="J91" s="36">
        <f>IF(+I91+H91&gt;0,I91+(H91*labour),"")</f>
      </c>
      <c r="K91" s="37">
        <f>+IF(F91="item",J91,IF(F91&lt;&gt;0,F91*J91,""))</f>
      </c>
      <c r="L91" s="31"/>
      <c r="M91" s="72"/>
      <c r="N91" s="73"/>
      <c r="O91" s="74"/>
      <c r="P91" s="75">
        <f>+IF(M91="item",O91,IF(M91&lt;&gt;0,M91*O91,""))</f>
      </c>
      <c r="Q91" s="76"/>
      <c r="S91" s="110"/>
      <c r="T91" s="12"/>
      <c r="U91" s="12"/>
      <c r="V91" s="12"/>
      <c r="W91" s="19"/>
      <c r="X91" s="111"/>
    </row>
    <row r="92" spans="1:24" ht="12.75" hidden="1" outlineLevel="1">
      <c r="A92" s="60"/>
      <c r="B92" s="61"/>
      <c r="C92" s="64"/>
      <c r="D92" s="63"/>
      <c r="E92" s="38" t="s">
        <v>61</v>
      </c>
      <c r="F92" s="33">
        <f>+F78</f>
        <v>27</v>
      </c>
      <c r="G92" s="34" t="s">
        <v>35</v>
      </c>
      <c r="H92" s="39">
        <v>0.08</v>
      </c>
      <c r="I92" s="39">
        <f>+underlay</f>
        <v>1.6679999999999997</v>
      </c>
      <c r="J92" s="36">
        <f>IF(+I92+H92&gt;0,I92+(H92*labour),"")</f>
        <v>4.068</v>
      </c>
      <c r="K92" s="37">
        <f>+IF(F92="item",J92,IF(F92&lt;&gt;0,F92*J92,""))</f>
        <v>109.83599999999998</v>
      </c>
      <c r="L92" s="31"/>
      <c r="M92" s="72"/>
      <c r="N92" s="73"/>
      <c r="O92" s="74"/>
      <c r="P92" s="75">
        <f>+IF(M92="item",O92,IF(M92&lt;&gt;0,M92*O92,""))</f>
      </c>
      <c r="Q92" s="76"/>
      <c r="S92" s="110" t="str">
        <f>+E92</f>
        <v>Wool mix underlay</v>
      </c>
      <c r="T92" s="114">
        <f>+K92</f>
        <v>109.83599999999998</v>
      </c>
      <c r="U92" s="12"/>
      <c r="V92" s="12">
        <v>15</v>
      </c>
      <c r="W92" s="19">
        <f>ROUND(+IF(V92&gt;0,T92/V92,""),2)</f>
        <v>7.32</v>
      </c>
      <c r="X92" s="111"/>
    </row>
    <row r="93" spans="1:24" ht="12.75" hidden="1" outlineLevel="1">
      <c r="A93" s="60"/>
      <c r="B93" s="61"/>
      <c r="C93" s="64"/>
      <c r="D93" s="63"/>
      <c r="E93" s="38"/>
      <c r="F93" s="33"/>
      <c r="G93" s="34"/>
      <c r="H93" s="39"/>
      <c r="I93" s="39"/>
      <c r="J93" s="36"/>
      <c r="K93" s="37"/>
      <c r="L93" s="31"/>
      <c r="M93" s="72"/>
      <c r="N93" s="73"/>
      <c r="O93" s="74"/>
      <c r="P93" s="75"/>
      <c r="Q93" s="76"/>
      <c r="S93" s="110"/>
      <c r="T93" s="114"/>
      <c r="U93" s="12"/>
      <c r="V93" s="12"/>
      <c r="W93" s="19"/>
      <c r="X93" s="111"/>
    </row>
    <row r="94" spans="1:24" ht="12.75" hidden="1" outlineLevel="1">
      <c r="A94" s="60"/>
      <c r="B94" s="61"/>
      <c r="C94" s="64"/>
      <c r="D94" s="63"/>
      <c r="E94" s="38" t="s">
        <v>362</v>
      </c>
      <c r="F94" s="33">
        <v>10</v>
      </c>
      <c r="G94" s="34" t="s">
        <v>363</v>
      </c>
      <c r="H94" s="39"/>
      <c r="I94" s="39"/>
      <c r="J94" s="36">
        <f>SUM(K78:K92)</f>
        <v>286.836</v>
      </c>
      <c r="K94" s="37">
        <f>+J94*F94%</f>
        <v>28.683600000000002</v>
      </c>
      <c r="L94" s="31"/>
      <c r="M94" s="72"/>
      <c r="N94" s="73"/>
      <c r="O94" s="74"/>
      <c r="P94" s="75"/>
      <c r="Q94" s="76"/>
      <c r="S94" s="110"/>
      <c r="T94" s="114"/>
      <c r="U94" s="12"/>
      <c r="V94" s="12"/>
      <c r="W94" s="19"/>
      <c r="X94" s="111"/>
    </row>
    <row r="95" spans="1:24" ht="12.75" hidden="1" outlineLevel="1">
      <c r="A95" s="60"/>
      <c r="B95" s="61"/>
      <c r="C95" s="64"/>
      <c r="D95" s="63"/>
      <c r="E95" s="38"/>
      <c r="F95" s="33"/>
      <c r="G95" s="34"/>
      <c r="H95" s="39"/>
      <c r="I95" s="39"/>
      <c r="J95" s="36">
        <f aca="true" t="shared" si="6" ref="J95:J100">IF(+I95+H95&gt;0,I95+(H95*labour),"")</f>
      </c>
      <c r="K95" s="37">
        <f>+IF(F95="item",J95,IF(F95&lt;&gt;0,F95*J95,""))</f>
      </c>
      <c r="L95" s="31"/>
      <c r="M95" s="72"/>
      <c r="N95" s="73"/>
      <c r="O95" s="74"/>
      <c r="P95" s="75">
        <f>+IF(M95="item",O95,IF(M95&lt;&gt;0,M95*O95,""))</f>
      </c>
      <c r="Q95" s="76"/>
      <c r="S95" s="110"/>
      <c r="T95" s="12"/>
      <c r="U95" s="12"/>
      <c r="V95" s="12"/>
      <c r="W95" s="19"/>
      <c r="X95" s="111"/>
    </row>
    <row r="96" spans="1:24" ht="12.75" collapsed="1">
      <c r="A96" s="60"/>
      <c r="B96" s="61"/>
      <c r="C96" s="64"/>
      <c r="D96" s="63"/>
      <c r="E96" s="38"/>
      <c r="F96" s="33"/>
      <c r="G96" s="34"/>
      <c r="H96" s="39"/>
      <c r="I96" s="39"/>
      <c r="J96" s="36">
        <f t="shared" si="6"/>
      </c>
      <c r="K96" s="37">
        <f>+IF(F96="item",J96,IF(F96&lt;&gt;0,F96*J96,""))</f>
      </c>
      <c r="L96" s="31"/>
      <c r="M96" s="33"/>
      <c r="N96" s="34"/>
      <c r="O96" s="36"/>
      <c r="P96" s="37">
        <f>+IF(M96="item",O96,IF(M96&lt;&gt;0,M96*O96,""))</f>
      </c>
      <c r="Q96" s="54"/>
      <c r="S96" s="110"/>
      <c r="T96" s="12"/>
      <c r="U96" s="12"/>
      <c r="V96" s="12"/>
      <c r="W96" s="19"/>
      <c r="X96" s="111"/>
    </row>
    <row r="97" spans="1:24" ht="12.75">
      <c r="A97" s="60"/>
      <c r="B97" s="61"/>
      <c r="C97" s="64"/>
      <c r="D97" s="63"/>
      <c r="E97" s="32" t="s">
        <v>90</v>
      </c>
      <c r="F97" s="33"/>
      <c r="G97" s="34"/>
      <c r="H97" s="39"/>
      <c r="I97" s="39"/>
      <c r="J97" s="36">
        <f t="shared" si="6"/>
      </c>
      <c r="K97" s="53">
        <f>SUM(K98:K102)</f>
        <v>506</v>
      </c>
      <c r="L97" s="31" t="s">
        <v>66</v>
      </c>
      <c r="M97" s="33"/>
      <c r="N97" s="34"/>
      <c r="O97" s="36"/>
      <c r="P97" s="53">
        <f>SUM(P98:P100)</f>
        <v>280</v>
      </c>
      <c r="Q97" s="54" t="s">
        <v>66</v>
      </c>
      <c r="S97" s="110" t="s">
        <v>261</v>
      </c>
      <c r="T97" s="114">
        <f>+K97</f>
        <v>506</v>
      </c>
      <c r="U97" s="12"/>
      <c r="V97" s="12">
        <v>15</v>
      </c>
      <c r="W97" s="112">
        <f>ROUND(+IF(V97&gt;0,T97/V97,""),2)</f>
        <v>33.73</v>
      </c>
      <c r="X97" s="111"/>
    </row>
    <row r="98" spans="1:24" ht="51" hidden="1" outlineLevel="1">
      <c r="A98" s="60"/>
      <c r="B98" s="61"/>
      <c r="C98" s="64"/>
      <c r="D98" s="63"/>
      <c r="E98" s="38"/>
      <c r="F98" s="33"/>
      <c r="G98" s="34"/>
      <c r="H98" s="39"/>
      <c r="I98" s="39"/>
      <c r="J98" s="36">
        <f t="shared" si="6"/>
      </c>
      <c r="K98" s="37">
        <f>+IF(F98="item",J98,IF(F98&lt;&gt;0,F98*J98,""))</f>
      </c>
      <c r="L98" s="69" t="s">
        <v>65</v>
      </c>
      <c r="M98" s="33"/>
      <c r="N98" s="34"/>
      <c r="O98" s="36"/>
      <c r="P98" s="37">
        <f>+IF(M98="item",O98,IF(M98&lt;&gt;0,M98*O98,""))</f>
      </c>
      <c r="Q98" s="54"/>
      <c r="S98" s="110"/>
      <c r="T98" s="12"/>
      <c r="U98" s="12"/>
      <c r="V98" s="12"/>
      <c r="W98" s="19"/>
      <c r="X98" s="111"/>
    </row>
    <row r="99" spans="1:24" ht="12.75" hidden="1" outlineLevel="1">
      <c r="A99" s="60"/>
      <c r="B99" s="61"/>
      <c r="C99" s="64"/>
      <c r="D99" s="63"/>
      <c r="E99" s="38"/>
      <c r="F99" s="33">
        <f>+F71</f>
        <v>8</v>
      </c>
      <c r="G99" s="34" t="s">
        <v>8</v>
      </c>
      <c r="H99" s="39">
        <v>0.75</v>
      </c>
      <c r="I99" s="39">
        <v>35</v>
      </c>
      <c r="J99" s="36">
        <f t="shared" si="6"/>
        <v>57.5</v>
      </c>
      <c r="K99" s="37">
        <f>+IF(F99="item",J99,IF(F99&lt;&gt;0,F99*J99,""))</f>
        <v>460</v>
      </c>
      <c r="L99" s="91" t="s">
        <v>67</v>
      </c>
      <c r="M99" s="33">
        <f>+F99</f>
        <v>8</v>
      </c>
      <c r="N99" s="34" t="s">
        <v>8</v>
      </c>
      <c r="O99" s="36">
        <f>+I99</f>
        <v>35</v>
      </c>
      <c r="P99" s="37">
        <f>+IF(M99="item",O99,IF(M99&lt;&gt;0,M99*O99,""))</f>
        <v>280</v>
      </c>
      <c r="Q99" s="54"/>
      <c r="S99" s="110"/>
      <c r="T99" s="12"/>
      <c r="U99" s="12"/>
      <c r="V99" s="12"/>
      <c r="W99" s="19"/>
      <c r="X99" s="111"/>
    </row>
    <row r="100" spans="1:24" ht="12.75" hidden="1" outlineLevel="1">
      <c r="A100" s="60"/>
      <c r="B100" s="61"/>
      <c r="C100" s="64"/>
      <c r="D100" s="63"/>
      <c r="E100" s="40"/>
      <c r="F100" s="33"/>
      <c r="G100" s="34"/>
      <c r="H100" s="39"/>
      <c r="I100" s="39"/>
      <c r="J100" s="36">
        <f t="shared" si="6"/>
      </c>
      <c r="K100" s="37">
        <f>+IF(F100="item",J100,IF(F100&lt;&gt;0,F100*J100,""))</f>
      </c>
      <c r="L100" s="31"/>
      <c r="M100" s="33"/>
      <c r="N100" s="34"/>
      <c r="O100" s="36"/>
      <c r="P100" s="37">
        <f>+IF(M100="item",O100,IF(M100&lt;&gt;0,M100*O100,""))</f>
      </c>
      <c r="Q100" s="54"/>
      <c r="S100" s="110"/>
      <c r="T100" s="12"/>
      <c r="U100" s="12"/>
      <c r="V100" s="12"/>
      <c r="W100" s="19"/>
      <c r="X100" s="111"/>
    </row>
    <row r="101" spans="1:24" ht="12.75" hidden="1" outlineLevel="1">
      <c r="A101" s="60"/>
      <c r="B101" s="61"/>
      <c r="C101" s="64"/>
      <c r="D101" s="63"/>
      <c r="E101" s="38" t="s">
        <v>362</v>
      </c>
      <c r="F101" s="33">
        <v>10</v>
      </c>
      <c r="G101" s="34" t="s">
        <v>363</v>
      </c>
      <c r="H101" s="39"/>
      <c r="I101" s="39"/>
      <c r="J101" s="36">
        <f>SUM(K98:K100)</f>
        <v>460</v>
      </c>
      <c r="K101" s="37">
        <f>+J101*F101%</f>
        <v>46</v>
      </c>
      <c r="L101" s="31"/>
      <c r="M101" s="33"/>
      <c r="N101" s="34"/>
      <c r="O101" s="36"/>
      <c r="P101" s="37"/>
      <c r="Q101" s="54"/>
      <c r="S101" s="110"/>
      <c r="T101" s="12"/>
      <c r="U101" s="12"/>
      <c r="V101" s="12"/>
      <c r="W101" s="19"/>
      <c r="X101" s="111"/>
    </row>
    <row r="102" spans="1:24" ht="12.75" hidden="1" outlineLevel="1">
      <c r="A102" s="60"/>
      <c r="B102" s="61"/>
      <c r="C102" s="64"/>
      <c r="D102" s="63"/>
      <c r="E102" s="40"/>
      <c r="F102" s="33"/>
      <c r="G102" s="34"/>
      <c r="H102" s="39"/>
      <c r="I102" s="39"/>
      <c r="J102" s="36"/>
      <c r="K102" s="37"/>
      <c r="L102" s="31"/>
      <c r="M102" s="33"/>
      <c r="N102" s="34"/>
      <c r="O102" s="36"/>
      <c r="P102" s="37"/>
      <c r="Q102" s="54"/>
      <c r="S102" s="110"/>
      <c r="T102" s="12"/>
      <c r="U102" s="12"/>
      <c r="V102" s="12"/>
      <c r="W102" s="19"/>
      <c r="X102" s="111"/>
    </row>
    <row r="103" spans="1:24" ht="12.75" collapsed="1">
      <c r="A103" s="60"/>
      <c r="B103" s="61"/>
      <c r="C103" s="64"/>
      <c r="D103" s="63"/>
      <c r="E103" s="41"/>
      <c r="F103" s="33"/>
      <c r="G103" s="34"/>
      <c r="H103" s="39"/>
      <c r="I103" s="39"/>
      <c r="J103" s="36">
        <f>IF(+I103+H103&gt;0,I103+(H103*labour),"")</f>
      </c>
      <c r="K103" s="37">
        <f>+IF(F103="item",J103,IF(F103&lt;&gt;0,F103*J103,""))</f>
      </c>
      <c r="L103" s="31"/>
      <c r="M103" s="33"/>
      <c r="N103" s="34"/>
      <c r="O103" s="36"/>
      <c r="P103" s="37">
        <f>+IF(M103="item",O103,IF(M103&lt;&gt;0,M103*O103,""))</f>
      </c>
      <c r="Q103" s="54"/>
      <c r="S103" s="110"/>
      <c r="T103" s="12"/>
      <c r="U103" s="12"/>
      <c r="V103" s="12"/>
      <c r="W103" s="19"/>
      <c r="X103" s="111"/>
    </row>
    <row r="104" spans="1:24" ht="12.75">
      <c r="A104" s="60"/>
      <c r="B104" s="61"/>
      <c r="C104" s="64"/>
      <c r="D104" s="63"/>
      <c r="E104" s="38"/>
      <c r="F104" s="33"/>
      <c r="G104" s="34"/>
      <c r="H104" s="39"/>
      <c r="I104" s="39"/>
      <c r="J104" s="36">
        <f>IF(+I104+H104&gt;0,I104+(H104*labour),"")</f>
      </c>
      <c r="K104" s="37">
        <f>+IF(F104="item",J104,IF(F104&lt;&gt;0,F104*J104,""))</f>
      </c>
      <c r="L104" s="31"/>
      <c r="M104" s="33"/>
      <c r="N104" s="34"/>
      <c r="O104" s="36"/>
      <c r="P104" s="37">
        <f>+IF(M104="item",O104,IF(M104&lt;&gt;0,M104*O104,""))</f>
      </c>
      <c r="Q104" s="54"/>
      <c r="S104" s="110"/>
      <c r="T104" s="12"/>
      <c r="U104" s="12"/>
      <c r="V104" s="12"/>
      <c r="W104" s="19"/>
      <c r="X104" s="111"/>
    </row>
    <row r="105" spans="1:24" ht="12.75">
      <c r="A105" s="60"/>
      <c r="B105" s="61"/>
      <c r="C105" s="64"/>
      <c r="D105" s="63"/>
      <c r="E105" s="32" t="s">
        <v>91</v>
      </c>
      <c r="F105" s="33"/>
      <c r="G105" s="34"/>
      <c r="H105" s="39"/>
      <c r="I105" s="39"/>
      <c r="J105" s="36">
        <f>IF(+I105+H105&gt;0,I105+(H105*labour),"")</f>
      </c>
      <c r="K105" s="53">
        <f>SUM(K106:K108)</f>
        <v>5345.454545454546</v>
      </c>
      <c r="L105" s="31"/>
      <c r="M105" s="72"/>
      <c r="N105" s="73"/>
      <c r="O105" s="74"/>
      <c r="P105" s="75">
        <f>+IF(M105="item",O105,IF(M105&lt;&gt;0,M105*O105,""))</f>
      </c>
      <c r="Q105" s="76"/>
      <c r="S105" s="110"/>
      <c r="T105" s="12"/>
      <c r="U105" s="12"/>
      <c r="V105" s="12"/>
      <c r="W105" s="112">
        <f>SUM(W106:W107)</f>
        <v>178.18</v>
      </c>
      <c r="X105" s="111"/>
    </row>
    <row r="106" spans="1:24" ht="12.75" hidden="1" outlineLevel="1">
      <c r="A106" s="60"/>
      <c r="B106" s="61"/>
      <c r="C106" s="64"/>
      <c r="D106" s="63"/>
      <c r="E106" s="38"/>
      <c r="F106" s="33"/>
      <c r="G106" s="34"/>
      <c r="H106" s="39"/>
      <c r="I106" s="39"/>
      <c r="J106" s="36">
        <f>IF(+I106+H106&gt;0,I106+(H106*labour),"")</f>
      </c>
      <c r="K106" s="37">
        <f>+IF(F106="item",J106,IF(F106&lt;&gt;0,F106*J106,""))</f>
      </c>
      <c r="L106" s="31"/>
      <c r="M106" s="72"/>
      <c r="N106" s="73"/>
      <c r="O106" s="74"/>
      <c r="P106" s="75">
        <f>+IF(M106="item",O106,IF(M106&lt;&gt;0,M106*O106,""))</f>
      </c>
      <c r="Q106" s="76"/>
      <c r="S106" s="110"/>
      <c r="T106" s="12"/>
      <c r="U106" s="12"/>
      <c r="V106" s="12"/>
      <c r="W106" s="19"/>
      <c r="X106" s="111"/>
    </row>
    <row r="107" spans="1:24" ht="12.75" hidden="1" outlineLevel="1">
      <c r="A107" s="60"/>
      <c r="B107" s="61"/>
      <c r="C107" s="64"/>
      <c r="D107" s="63"/>
      <c r="E107" s="38" t="s">
        <v>68</v>
      </c>
      <c r="F107" s="45" t="s">
        <v>1</v>
      </c>
      <c r="G107" s="42"/>
      <c r="H107" s="43"/>
      <c r="I107" s="43"/>
      <c r="J107" s="147">
        <f>((6125/11)*8)*1.2</f>
        <v>5345.454545454546</v>
      </c>
      <c r="K107" s="148">
        <f>+IF(F107="item",J107,IF(F107&lt;&gt;0,F107*J107,""))</f>
        <v>5345.454545454546</v>
      </c>
      <c r="L107" s="31" t="s">
        <v>346</v>
      </c>
      <c r="M107" s="72"/>
      <c r="N107" s="73"/>
      <c r="O107" s="74"/>
      <c r="P107" s="75">
        <f>+IF(M107="item",O107,IF(M107&lt;&gt;0,M107*O107,""))</f>
      </c>
      <c r="Q107" s="76"/>
      <c r="S107" s="110" t="str">
        <f>+E107</f>
        <v>Storm windows</v>
      </c>
      <c r="T107" s="114">
        <f>+K107</f>
        <v>5345.454545454546</v>
      </c>
      <c r="U107" s="12"/>
      <c r="V107" s="12">
        <v>30</v>
      </c>
      <c r="W107" s="19">
        <f>ROUND(+IF(V107&gt;0,T107/V107,""),2)</f>
        <v>178.18</v>
      </c>
      <c r="X107" s="111"/>
    </row>
    <row r="108" spans="1:24" ht="12.75" hidden="1" outlineLevel="1">
      <c r="A108" s="60"/>
      <c r="B108" s="61"/>
      <c r="C108" s="64"/>
      <c r="D108" s="63"/>
      <c r="E108" s="38"/>
      <c r="F108" s="45"/>
      <c r="G108" s="42"/>
      <c r="H108" s="43"/>
      <c r="I108" s="43"/>
      <c r="J108" s="147"/>
      <c r="K108" s="148"/>
      <c r="L108" s="31"/>
      <c r="M108" s="72"/>
      <c r="N108" s="73"/>
      <c r="O108" s="74"/>
      <c r="P108" s="75"/>
      <c r="Q108" s="76"/>
      <c r="S108" s="110"/>
      <c r="T108" s="114"/>
      <c r="U108" s="12"/>
      <c r="V108" s="12"/>
      <c r="W108" s="19"/>
      <c r="X108" s="111"/>
    </row>
    <row r="109" spans="1:24" ht="12.75" collapsed="1">
      <c r="A109" s="60"/>
      <c r="B109" s="61"/>
      <c r="C109" s="64"/>
      <c r="D109" s="63"/>
      <c r="E109" s="38"/>
      <c r="F109" s="33"/>
      <c r="G109" s="34"/>
      <c r="H109" s="39"/>
      <c r="I109" s="39"/>
      <c r="J109" s="36">
        <f>IF(+I109+H109&gt;0,I109+(H109*labour),"")</f>
      </c>
      <c r="K109" s="37">
        <f>+IF(F109="item",J109,IF(F109&lt;&gt;0,F109*J109,""))</f>
      </c>
      <c r="L109" s="31"/>
      <c r="M109" s="33"/>
      <c r="N109" s="34"/>
      <c r="O109" s="36"/>
      <c r="P109" s="37">
        <f>+IF(M109="item",O109,IF(M109&lt;&gt;0,M109*O109,""))</f>
      </c>
      <c r="Q109" s="54"/>
      <c r="S109" s="110"/>
      <c r="T109" s="12"/>
      <c r="U109" s="12"/>
      <c r="V109" s="12"/>
      <c r="W109" s="19"/>
      <c r="X109" s="111"/>
    </row>
    <row r="110" spans="1:24" ht="15.75">
      <c r="A110" s="60"/>
      <c r="B110" s="61"/>
      <c r="C110" s="64"/>
      <c r="D110" s="63"/>
      <c r="E110" s="78" t="s">
        <v>92</v>
      </c>
      <c r="F110" s="79"/>
      <c r="G110" s="80"/>
      <c r="H110" s="81"/>
      <c r="I110" s="81"/>
      <c r="J110" s="82"/>
      <c r="K110" s="83"/>
      <c r="L110" s="84"/>
      <c r="M110" s="79"/>
      <c r="N110" s="80"/>
      <c r="O110" s="82"/>
      <c r="P110" s="83"/>
      <c r="Q110" s="85"/>
      <c r="S110" s="110"/>
      <c r="T110" s="12"/>
      <c r="U110" s="12"/>
      <c r="V110" s="12"/>
      <c r="W110" s="19"/>
      <c r="X110" s="111"/>
    </row>
    <row r="111" spans="1:24" ht="12.75">
      <c r="A111" s="60"/>
      <c r="B111" s="61"/>
      <c r="C111" s="64"/>
      <c r="D111" s="63"/>
      <c r="E111" s="38"/>
      <c r="F111" s="33"/>
      <c r="G111" s="34"/>
      <c r="H111" s="39"/>
      <c r="I111" s="39"/>
      <c r="J111" s="36"/>
      <c r="K111" s="37"/>
      <c r="L111" s="31"/>
      <c r="M111" s="33"/>
      <c r="N111" s="34"/>
      <c r="O111" s="36"/>
      <c r="P111" s="37"/>
      <c r="Q111" s="54"/>
      <c r="S111" s="110"/>
      <c r="T111" s="12"/>
      <c r="U111" s="12"/>
      <c r="V111" s="12"/>
      <c r="W111" s="19"/>
      <c r="X111" s="111"/>
    </row>
    <row r="112" spans="1:24" ht="63.75">
      <c r="A112" s="60"/>
      <c r="B112" s="61"/>
      <c r="C112" s="64"/>
      <c r="D112" s="63"/>
      <c r="E112" s="32" t="s">
        <v>93</v>
      </c>
      <c r="F112" s="33"/>
      <c r="G112" s="34"/>
      <c r="H112" s="39"/>
      <c r="I112" s="39"/>
      <c r="J112" s="36">
        <f>IF(+I112+H112&gt;0,I112+(H112*labour),"")</f>
      </c>
      <c r="K112" s="37"/>
      <c r="L112" s="31" t="s">
        <v>94</v>
      </c>
      <c r="M112" s="33"/>
      <c r="N112" s="34"/>
      <c r="O112" s="36"/>
      <c r="P112" s="37">
        <f>+IF(M112="item",O112,IF(M112&lt;&gt;0,M112*O112,""))</f>
      </c>
      <c r="Q112" s="54"/>
      <c r="S112" s="110"/>
      <c r="T112" s="12"/>
      <c r="U112" s="12"/>
      <c r="V112" s="12"/>
      <c r="W112" s="115">
        <v>0</v>
      </c>
      <c r="X112" s="111"/>
    </row>
    <row r="113" spans="1:24" ht="12.75">
      <c r="A113" s="60"/>
      <c r="B113" s="61"/>
      <c r="C113" s="64"/>
      <c r="D113" s="63"/>
      <c r="E113" s="32"/>
      <c r="F113" s="33"/>
      <c r="G113" s="34"/>
      <c r="H113" s="39"/>
      <c r="I113" s="39"/>
      <c r="J113" s="36"/>
      <c r="K113" s="37"/>
      <c r="L113" s="31"/>
      <c r="M113" s="33"/>
      <c r="N113" s="34"/>
      <c r="O113" s="36"/>
      <c r="P113" s="37"/>
      <c r="Q113" s="54"/>
      <c r="S113" s="110"/>
      <c r="T113" s="12"/>
      <c r="U113" s="12"/>
      <c r="V113" s="12"/>
      <c r="W113" s="19"/>
      <c r="X113" s="111"/>
    </row>
    <row r="114" spans="1:24" ht="12.75">
      <c r="A114" s="60"/>
      <c r="B114" s="61"/>
      <c r="C114" s="64"/>
      <c r="D114" s="63"/>
      <c r="E114" s="38"/>
      <c r="F114" s="33"/>
      <c r="G114" s="42"/>
      <c r="H114" s="43"/>
      <c r="I114" s="43"/>
      <c r="J114" s="36">
        <f aca="true" t="shared" si="7" ref="J114:J119">IF(+I114+H114&gt;0,I114+(H114*labour),"")</f>
      </c>
      <c r="K114" s="37">
        <f>+IF(F114="item",J114,IF(F114&lt;&gt;0,F114*J114,""))</f>
      </c>
      <c r="L114" s="31"/>
      <c r="M114" s="33"/>
      <c r="N114" s="42"/>
      <c r="O114" s="36"/>
      <c r="P114" s="37">
        <f aca="true" t="shared" si="8" ref="P114:P119">+IF(M114="item",O114,IF(M114&lt;&gt;0,M114*O114,""))</f>
      </c>
      <c r="Q114" s="54"/>
      <c r="S114" s="110"/>
      <c r="T114" s="12"/>
      <c r="U114" s="12"/>
      <c r="V114" s="12"/>
      <c r="W114" s="19"/>
      <c r="X114" s="111"/>
    </row>
    <row r="115" spans="1:24" ht="25.5" customHeight="1">
      <c r="A115" s="60"/>
      <c r="B115" s="61"/>
      <c r="C115" s="64"/>
      <c r="D115" s="65"/>
      <c r="E115" s="139" t="s">
        <v>95</v>
      </c>
      <c r="F115" s="72"/>
      <c r="G115" s="73"/>
      <c r="H115" s="140"/>
      <c r="I115" s="140"/>
      <c r="J115" s="74">
        <f t="shared" si="7"/>
      </c>
      <c r="K115" s="75">
        <f>+IF(F115="item",J115,IF(F115&lt;&gt;0,F115*J115,""))</f>
      </c>
      <c r="L115" s="141" t="s">
        <v>322</v>
      </c>
      <c r="M115" s="72"/>
      <c r="N115" s="73"/>
      <c r="O115" s="74"/>
      <c r="P115" s="75">
        <f t="shared" si="8"/>
      </c>
      <c r="Q115" s="76"/>
      <c r="S115" s="110"/>
      <c r="T115" s="12"/>
      <c r="U115" s="12"/>
      <c r="V115" s="12"/>
      <c r="W115" s="112">
        <f>SUM(W116:W116)</f>
        <v>0</v>
      </c>
      <c r="X115" s="111"/>
    </row>
    <row r="116" spans="1:24" ht="12.75" hidden="1" outlineLevel="1">
      <c r="A116" s="60"/>
      <c r="B116" s="61"/>
      <c r="C116" s="64"/>
      <c r="D116" s="63"/>
      <c r="E116" s="44"/>
      <c r="F116" s="33"/>
      <c r="G116" s="42"/>
      <c r="H116" s="43"/>
      <c r="I116" s="43"/>
      <c r="J116" s="36">
        <f t="shared" si="7"/>
      </c>
      <c r="K116" s="37">
        <f>+IF(F116="item",J116,IF(F116&lt;&gt;0,F116*J116,""))</f>
      </c>
      <c r="L116" s="31"/>
      <c r="M116" s="33"/>
      <c r="N116" s="42"/>
      <c r="O116" s="36"/>
      <c r="P116" s="37">
        <f t="shared" si="8"/>
      </c>
      <c r="Q116" s="54"/>
      <c r="S116" s="110"/>
      <c r="T116" s="12"/>
      <c r="U116" s="12"/>
      <c r="V116" s="12"/>
      <c r="W116" s="19"/>
      <c r="X116" s="111"/>
    </row>
    <row r="117" spans="1:24" ht="12.75" collapsed="1">
      <c r="A117" s="60"/>
      <c r="B117" s="61"/>
      <c r="C117" s="64"/>
      <c r="D117" s="63"/>
      <c r="E117" s="38"/>
      <c r="F117" s="33"/>
      <c r="G117" s="42"/>
      <c r="H117" s="43"/>
      <c r="I117" s="43"/>
      <c r="J117" s="36">
        <f t="shared" si="7"/>
      </c>
      <c r="K117" s="37">
        <f>+IF(F117="item",J117,IF(F117&lt;&gt;0,F117*J117,""))</f>
      </c>
      <c r="L117" s="31"/>
      <c r="M117" s="33"/>
      <c r="N117" s="42"/>
      <c r="O117" s="36"/>
      <c r="P117" s="37">
        <f t="shared" si="8"/>
      </c>
      <c r="Q117" s="54"/>
      <c r="S117" s="110"/>
      <c r="T117" s="12"/>
      <c r="U117" s="12"/>
      <c r="V117" s="12"/>
      <c r="W117" s="19"/>
      <c r="X117" s="111"/>
    </row>
    <row r="118" spans="1:24" ht="25.5" customHeight="1">
      <c r="A118" s="60"/>
      <c r="B118" s="61"/>
      <c r="C118" s="64"/>
      <c r="D118" s="63"/>
      <c r="E118" s="142" t="s">
        <v>96</v>
      </c>
      <c r="F118" s="72"/>
      <c r="G118" s="73"/>
      <c r="H118" s="140"/>
      <c r="I118" s="140"/>
      <c r="J118" s="74">
        <f t="shared" si="7"/>
      </c>
      <c r="K118" s="165"/>
      <c r="L118" s="141" t="s">
        <v>376</v>
      </c>
      <c r="M118" s="72"/>
      <c r="N118" s="73"/>
      <c r="O118" s="74"/>
      <c r="P118" s="75">
        <f t="shared" si="8"/>
      </c>
      <c r="Q118" s="76"/>
      <c r="S118" s="110" t="s">
        <v>262</v>
      </c>
      <c r="T118" s="114">
        <f>11*20</f>
        <v>220</v>
      </c>
      <c r="U118" s="12"/>
      <c r="V118" s="12">
        <v>10</v>
      </c>
      <c r="W118" s="112">
        <f>ROUND(+IF(V118&gt;0,T118/V118,""),2)</f>
        <v>22</v>
      </c>
      <c r="X118" s="111" t="s">
        <v>263</v>
      </c>
    </row>
    <row r="119" spans="1:24" ht="12.75">
      <c r="A119" s="60"/>
      <c r="B119" s="61"/>
      <c r="C119" s="64"/>
      <c r="D119" s="63"/>
      <c r="E119" s="38"/>
      <c r="F119" s="33"/>
      <c r="G119" s="34"/>
      <c r="H119" s="39"/>
      <c r="I119" s="39"/>
      <c r="J119" s="36">
        <f t="shared" si="7"/>
      </c>
      <c r="K119" s="37">
        <f>+IF(F119="item",J119,IF(F119&lt;&gt;0,F119*J119,""))</f>
      </c>
      <c r="L119" s="31"/>
      <c r="M119" s="72"/>
      <c r="N119" s="73"/>
      <c r="O119" s="74"/>
      <c r="P119" s="75">
        <f t="shared" si="8"/>
      </c>
      <c r="Q119" s="76"/>
      <c r="S119" s="110"/>
      <c r="T119" s="12"/>
      <c r="U119" s="12"/>
      <c r="V119" s="12"/>
      <c r="W119" s="19"/>
      <c r="X119" s="111"/>
    </row>
    <row r="120" spans="1:24" ht="12.75">
      <c r="A120" s="60"/>
      <c r="B120" s="61"/>
      <c r="C120" s="64"/>
      <c r="D120" s="63"/>
      <c r="E120" s="38"/>
      <c r="F120" s="33"/>
      <c r="G120" s="42"/>
      <c r="H120" s="43"/>
      <c r="I120" s="43"/>
      <c r="J120" s="36">
        <f aca="true" t="shared" si="9" ref="J120:J128">IF(+I120+H120&gt;0,I120+(H120*labour),"")</f>
      </c>
      <c r="K120" s="37">
        <f>+IF(F120="item",J120,IF(F120&lt;&gt;0,F120*J120,""))</f>
      </c>
      <c r="L120" s="31"/>
      <c r="M120" s="33"/>
      <c r="N120" s="42"/>
      <c r="O120" s="36"/>
      <c r="P120" s="37">
        <f aca="true" t="shared" si="10" ref="P120:P125">+IF(M120="item",O120,IF(M120&lt;&gt;0,M120*O120,""))</f>
      </c>
      <c r="Q120" s="54"/>
      <c r="S120" s="110"/>
      <c r="T120" s="12"/>
      <c r="U120" s="12"/>
      <c r="V120" s="12"/>
      <c r="W120" s="19"/>
      <c r="X120" s="111"/>
    </row>
    <row r="121" spans="1:24" ht="38.25">
      <c r="A121" s="60"/>
      <c r="B121" s="61"/>
      <c r="C121" s="64"/>
      <c r="D121" s="63"/>
      <c r="E121" s="32" t="s">
        <v>100</v>
      </c>
      <c r="F121" s="33"/>
      <c r="G121" s="42"/>
      <c r="H121" s="43"/>
      <c r="I121" s="43"/>
      <c r="J121" s="36">
        <f t="shared" si="9"/>
      </c>
      <c r="K121" s="53">
        <f>(1650)*1.2</f>
        <v>1980</v>
      </c>
      <c r="L121" s="31" t="s">
        <v>103</v>
      </c>
      <c r="M121" s="72"/>
      <c r="N121" s="73"/>
      <c r="O121" s="74"/>
      <c r="P121" s="75">
        <f t="shared" si="10"/>
      </c>
      <c r="Q121" s="76"/>
      <c r="S121" s="110"/>
      <c r="T121" s="12"/>
      <c r="U121" s="12"/>
      <c r="V121" s="12"/>
      <c r="W121" s="19"/>
      <c r="X121" s="116" t="s">
        <v>264</v>
      </c>
    </row>
    <row r="122" spans="1:24" ht="25.5" hidden="1" outlineLevel="1">
      <c r="A122" s="60"/>
      <c r="B122" s="61"/>
      <c r="C122" s="64"/>
      <c r="D122" s="63"/>
      <c r="E122" s="38"/>
      <c r="F122" s="33"/>
      <c r="G122" s="42"/>
      <c r="H122" s="43"/>
      <c r="I122" s="43"/>
      <c r="J122" s="36">
        <f t="shared" si="9"/>
      </c>
      <c r="K122" s="37">
        <f>+IF(F122="item",J122,IF(F122&lt;&gt;0,F122*J122,""))</f>
      </c>
      <c r="L122" s="31" t="s">
        <v>367</v>
      </c>
      <c r="M122" s="72"/>
      <c r="N122" s="73"/>
      <c r="O122" s="74"/>
      <c r="P122" s="75">
        <f t="shared" si="10"/>
      </c>
      <c r="Q122" s="76"/>
      <c r="S122" s="110"/>
      <c r="T122" s="12"/>
      <c r="U122" s="12"/>
      <c r="V122" s="12"/>
      <c r="W122" s="19"/>
      <c r="X122" s="111"/>
    </row>
    <row r="123" spans="1:24" ht="12.75" hidden="1" outlineLevel="1">
      <c r="A123" s="60"/>
      <c r="B123" s="61"/>
      <c r="C123" s="64"/>
      <c r="D123" s="63"/>
      <c r="E123" s="38"/>
      <c r="F123" s="33"/>
      <c r="G123" s="42"/>
      <c r="H123" s="43"/>
      <c r="I123" s="43"/>
      <c r="J123" s="36">
        <f t="shared" si="9"/>
      </c>
      <c r="K123" s="37">
        <f>+IF(F123="item",J123,IF(F123&lt;&gt;0,F123*J123,""))</f>
      </c>
      <c r="L123" s="31"/>
      <c r="M123" s="72"/>
      <c r="N123" s="73"/>
      <c r="O123" s="74"/>
      <c r="P123" s="75">
        <f t="shared" si="10"/>
      </c>
      <c r="Q123" s="76"/>
      <c r="S123" s="110"/>
      <c r="T123" s="12"/>
      <c r="U123" s="12"/>
      <c r="V123" s="12"/>
      <c r="W123" s="19"/>
      <c r="X123" s="111"/>
    </row>
    <row r="124" spans="1:24" ht="12.75" collapsed="1">
      <c r="A124" s="60"/>
      <c r="B124" s="61"/>
      <c r="C124" s="64"/>
      <c r="D124" s="63"/>
      <c r="E124" s="38"/>
      <c r="F124" s="33"/>
      <c r="G124" s="42"/>
      <c r="H124" s="43"/>
      <c r="I124" s="43"/>
      <c r="J124" s="36">
        <f t="shared" si="9"/>
      </c>
      <c r="K124" s="37">
        <f>+IF(F124="item",J124,IF(F124&lt;&gt;0,F124*J124,""))</f>
      </c>
      <c r="L124" s="31"/>
      <c r="M124" s="33"/>
      <c r="N124" s="42"/>
      <c r="O124" s="36"/>
      <c r="P124" s="37">
        <f t="shared" si="10"/>
      </c>
      <c r="Q124" s="54"/>
      <c r="S124" s="110"/>
      <c r="T124" s="12"/>
      <c r="U124" s="12"/>
      <c r="V124" s="12"/>
      <c r="W124" s="19"/>
      <c r="X124" s="111"/>
    </row>
    <row r="125" spans="1:24" ht="12.75">
      <c r="A125" s="60"/>
      <c r="B125" s="61"/>
      <c r="C125" s="64"/>
      <c r="D125" s="63"/>
      <c r="E125" s="38"/>
      <c r="F125" s="33"/>
      <c r="G125" s="42"/>
      <c r="H125" s="43"/>
      <c r="I125" s="43"/>
      <c r="J125" s="36">
        <f t="shared" si="9"/>
      </c>
      <c r="K125" s="37">
        <f>+IF(F125="item",J125,IF(F125&lt;&gt;0,F125*J125,""))</f>
      </c>
      <c r="L125" s="31"/>
      <c r="M125" s="33"/>
      <c r="N125" s="42"/>
      <c r="O125" s="36"/>
      <c r="P125" s="37">
        <f t="shared" si="10"/>
      </c>
      <c r="Q125" s="54"/>
      <c r="S125" s="110"/>
      <c r="T125" s="12"/>
      <c r="U125" s="12"/>
      <c r="V125" s="12"/>
      <c r="W125" s="19"/>
      <c r="X125" s="111"/>
    </row>
    <row r="126" spans="1:24" ht="25.5" customHeight="1">
      <c r="A126" s="60"/>
      <c r="B126" s="61"/>
      <c r="C126" s="64"/>
      <c r="D126" s="63"/>
      <c r="E126" s="142" t="s">
        <v>104</v>
      </c>
      <c r="F126" s="72"/>
      <c r="G126" s="73"/>
      <c r="H126" s="140"/>
      <c r="I126" s="140"/>
      <c r="J126" s="74">
        <f t="shared" si="9"/>
      </c>
      <c r="K126" s="165"/>
      <c r="L126" s="141" t="s">
        <v>377</v>
      </c>
      <c r="M126" s="72"/>
      <c r="N126" s="73"/>
      <c r="O126" s="74"/>
      <c r="P126" s="165"/>
      <c r="Q126" s="76"/>
      <c r="S126" s="110"/>
      <c r="T126" s="12"/>
      <c r="U126" s="12"/>
      <c r="V126" s="12"/>
      <c r="W126" s="112">
        <f>SUM(W127:W142)</f>
        <v>27.979999999999997</v>
      </c>
      <c r="X126" s="111"/>
    </row>
    <row r="127" spans="1:24" ht="12.75">
      <c r="A127" s="60"/>
      <c r="B127" s="61"/>
      <c r="C127" s="64"/>
      <c r="D127" s="63"/>
      <c r="E127" s="38"/>
      <c r="F127" s="33"/>
      <c r="G127" s="42"/>
      <c r="H127" s="43"/>
      <c r="I127" s="43"/>
      <c r="J127" s="36">
        <f t="shared" si="9"/>
      </c>
      <c r="K127" s="37">
        <f>+IF(F127="item",J127,IF(F127&lt;&gt;0,F127*J127,""))</f>
      </c>
      <c r="L127" s="31"/>
      <c r="M127" s="33"/>
      <c r="N127" s="42"/>
      <c r="O127" s="36"/>
      <c r="P127" s="37">
        <f>+IF(M127="item",O127,IF(M127&lt;&gt;0,M127*O127,""))</f>
      </c>
      <c r="Q127" s="54"/>
      <c r="S127" s="113" t="s">
        <v>257</v>
      </c>
      <c r="T127" s="12"/>
      <c r="U127" s="12"/>
      <c r="V127" s="12"/>
      <c r="W127" s="19"/>
      <c r="X127" s="111"/>
    </row>
    <row r="128" spans="1:24" ht="12.75" hidden="1" outlineLevel="1">
      <c r="A128" s="60"/>
      <c r="B128" s="61"/>
      <c r="C128" s="64"/>
      <c r="D128" s="63"/>
      <c r="E128" s="38" t="s">
        <v>62</v>
      </c>
      <c r="F128" s="33">
        <f>ROUND(D134,0)</f>
        <v>94</v>
      </c>
      <c r="G128" s="42" t="s">
        <v>35</v>
      </c>
      <c r="H128" s="43"/>
      <c r="I128" s="43">
        <f>+felt</f>
        <v>3.2016000000000004</v>
      </c>
      <c r="J128" s="36">
        <f t="shared" si="9"/>
        <v>3.2016000000000004</v>
      </c>
      <c r="K128" s="37">
        <f>+IF(F128="item",J128,IF(F128&lt;&gt;0,F128*J128,""))</f>
        <v>300.95040000000006</v>
      </c>
      <c r="L128" s="31"/>
      <c r="M128" s="33">
        <v>200</v>
      </c>
      <c r="N128" s="42" t="s">
        <v>35</v>
      </c>
      <c r="O128" s="36">
        <f>+I128/1.1</f>
        <v>2.9105454545454545</v>
      </c>
      <c r="P128" s="37">
        <f>+IF(M128="item",O128,IF(M128&lt;&gt;0,M128*O128,""))</f>
        <v>582.1090909090909</v>
      </c>
      <c r="Q128" s="54" t="s">
        <v>119</v>
      </c>
      <c r="S128" s="110" t="str">
        <f>+E128</f>
        <v>Underlay</v>
      </c>
      <c r="T128" s="114">
        <f>+K128</f>
        <v>300.95040000000006</v>
      </c>
      <c r="U128" s="12"/>
      <c r="V128" s="12">
        <v>60</v>
      </c>
      <c r="W128" s="19">
        <f>ROUND(+IF(V128&gt;0,T128/V128,""),2)</f>
        <v>5.02</v>
      </c>
      <c r="X128" s="111"/>
    </row>
    <row r="129" spans="1:24" ht="12.75" hidden="1" outlineLevel="1">
      <c r="A129" s="60"/>
      <c r="B129" s="137">
        <v>1.22</v>
      </c>
      <c r="C129" s="64">
        <v>7.7</v>
      </c>
      <c r="D129" s="63"/>
      <c r="E129" s="38"/>
      <c r="F129" s="33"/>
      <c r="G129" s="42"/>
      <c r="H129" s="43"/>
      <c r="I129" s="43"/>
      <c r="J129" s="36"/>
      <c r="K129" s="37"/>
      <c r="L129" s="31"/>
      <c r="M129" s="33"/>
      <c r="N129" s="42"/>
      <c r="O129" s="36"/>
      <c r="P129" s="37"/>
      <c r="Q129" s="54"/>
      <c r="S129" s="110"/>
      <c r="T129" s="114"/>
      <c r="U129" s="12"/>
      <c r="V129" s="12"/>
      <c r="W129" s="19"/>
      <c r="X129" s="111"/>
    </row>
    <row r="130" spans="1:24" ht="12.75" hidden="1" outlineLevel="1">
      <c r="A130" s="60"/>
      <c r="B130" s="61"/>
      <c r="C130" s="135">
        <v>7.1</v>
      </c>
      <c r="D130" s="63">
        <f>+C130*C129*B129</f>
        <v>66.6974</v>
      </c>
      <c r="E130" s="38"/>
      <c r="F130" s="33"/>
      <c r="G130" s="42"/>
      <c r="H130" s="43"/>
      <c r="I130" s="43"/>
      <c r="J130" s="36"/>
      <c r="K130" s="37"/>
      <c r="L130" s="31"/>
      <c r="M130" s="33"/>
      <c r="N130" s="42"/>
      <c r="O130" s="36"/>
      <c r="P130" s="37"/>
      <c r="Q130" s="54"/>
      <c r="S130" s="110"/>
      <c r="T130" s="114"/>
      <c r="U130" s="12"/>
      <c r="V130" s="12"/>
      <c r="W130" s="19"/>
      <c r="X130" s="111"/>
    </row>
    <row r="131" spans="1:24" ht="12.75" hidden="1" outlineLevel="1">
      <c r="A131" s="60"/>
      <c r="B131" s="137">
        <v>1.22</v>
      </c>
      <c r="C131" s="64">
        <v>3.8</v>
      </c>
      <c r="D131" s="63"/>
      <c r="E131" s="38"/>
      <c r="F131" s="33"/>
      <c r="G131" s="42"/>
      <c r="H131" s="43"/>
      <c r="I131" s="43"/>
      <c r="J131" s="36"/>
      <c r="K131" s="37"/>
      <c r="L131" s="31"/>
      <c r="M131" s="33"/>
      <c r="N131" s="42"/>
      <c r="O131" s="36"/>
      <c r="P131" s="37"/>
      <c r="Q131" s="54"/>
      <c r="S131" s="110"/>
      <c r="T131" s="114"/>
      <c r="U131" s="12"/>
      <c r="V131" s="12"/>
      <c r="W131" s="19"/>
      <c r="X131" s="111"/>
    </row>
    <row r="132" spans="1:24" ht="12.75" hidden="1" outlineLevel="1">
      <c r="A132" s="60"/>
      <c r="B132" s="61"/>
      <c r="C132" s="135">
        <v>5.9</v>
      </c>
      <c r="D132" s="63">
        <f>+C132*C131*B131</f>
        <v>27.352400000000003</v>
      </c>
      <c r="E132" s="38"/>
      <c r="F132" s="33"/>
      <c r="G132" s="42"/>
      <c r="H132" s="43"/>
      <c r="I132" s="43"/>
      <c r="J132" s="36"/>
      <c r="K132" s="37"/>
      <c r="L132" s="31"/>
      <c r="M132" s="33"/>
      <c r="N132" s="42"/>
      <c r="O132" s="36"/>
      <c r="P132" s="37"/>
      <c r="Q132" s="54"/>
      <c r="S132" s="110"/>
      <c r="T132" s="114"/>
      <c r="U132" s="12"/>
      <c r="V132" s="12"/>
      <c r="W132" s="19"/>
      <c r="X132" s="111"/>
    </row>
    <row r="133" spans="1:24" ht="12.75" hidden="1" outlineLevel="1">
      <c r="A133" s="60"/>
      <c r="B133" s="61"/>
      <c r="C133" s="64"/>
      <c r="D133" s="63"/>
      <c r="E133" s="38"/>
      <c r="F133" s="33"/>
      <c r="G133" s="42"/>
      <c r="H133" s="43"/>
      <c r="I133" s="43"/>
      <c r="J133" s="36"/>
      <c r="K133" s="37"/>
      <c r="L133" s="31"/>
      <c r="M133" s="33"/>
      <c r="N133" s="42"/>
      <c r="O133" s="36"/>
      <c r="P133" s="37"/>
      <c r="Q133" s="54"/>
      <c r="S133" s="110"/>
      <c r="T133" s="114"/>
      <c r="U133" s="12"/>
      <c r="V133" s="12"/>
      <c r="W133" s="19"/>
      <c r="X133" s="111"/>
    </row>
    <row r="134" spans="1:24" ht="12.75" hidden="1" outlineLevel="1">
      <c r="A134" s="60"/>
      <c r="B134" s="61"/>
      <c r="C134" s="64"/>
      <c r="D134" s="65">
        <f>SUM(D129:D133)</f>
        <v>94.0498</v>
      </c>
      <c r="E134" s="38"/>
      <c r="F134" s="33"/>
      <c r="G134" s="42"/>
      <c r="H134" s="43"/>
      <c r="I134" s="43"/>
      <c r="J134" s="36"/>
      <c r="K134" s="37"/>
      <c r="L134" s="31"/>
      <c r="M134" s="33"/>
      <c r="N134" s="42"/>
      <c r="O134" s="36"/>
      <c r="P134" s="37"/>
      <c r="Q134" s="54"/>
      <c r="S134" s="110"/>
      <c r="T134" s="114"/>
      <c r="U134" s="12"/>
      <c r="V134" s="12"/>
      <c r="W134" s="19"/>
      <c r="X134" s="111"/>
    </row>
    <row r="135" spans="1:24" ht="12.75" hidden="1" outlineLevel="1">
      <c r="A135" s="60"/>
      <c r="B135" s="61"/>
      <c r="C135" s="64"/>
      <c r="D135" s="63"/>
      <c r="E135" s="38"/>
      <c r="F135" s="33"/>
      <c r="G135" s="42"/>
      <c r="H135" s="43"/>
      <c r="I135" s="43"/>
      <c r="J135" s="36">
        <f aca="true" t="shared" si="11" ref="J135:J141">IF(+I135+H135&gt;0,I135+(H135*labour),"")</f>
      </c>
      <c r="K135" s="37">
        <f aca="true" t="shared" si="12" ref="K135:K142">+IF(F135="item",J135,IF(F135&lt;&gt;0,F135*J135,""))</f>
      </c>
      <c r="L135" s="31"/>
      <c r="M135" s="33"/>
      <c r="N135" s="42"/>
      <c r="O135" s="36"/>
      <c r="P135" s="37">
        <f aca="true" t="shared" si="13" ref="P135:P142">+IF(M135="item",O135,IF(M135&lt;&gt;0,M135*O135,""))</f>
      </c>
      <c r="Q135" s="54"/>
      <c r="S135" s="110"/>
      <c r="T135" s="12"/>
      <c r="U135" s="12"/>
      <c r="V135" s="12"/>
      <c r="W135" s="19"/>
      <c r="X135" s="111"/>
    </row>
    <row r="136" spans="1:24" ht="12.75" hidden="1" outlineLevel="1">
      <c r="A136" s="60"/>
      <c r="B136" s="61"/>
      <c r="C136" s="64"/>
      <c r="D136" s="63"/>
      <c r="E136" s="38" t="s">
        <v>107</v>
      </c>
      <c r="F136" s="33">
        <f>+F128*2.5</f>
        <v>235</v>
      </c>
      <c r="G136" s="42" t="s">
        <v>108</v>
      </c>
      <c r="H136" s="43"/>
      <c r="I136" s="43">
        <v>0.5</v>
      </c>
      <c r="J136" s="36">
        <f t="shared" si="11"/>
        <v>0.5</v>
      </c>
      <c r="K136" s="37">
        <f t="shared" si="12"/>
        <v>117.5</v>
      </c>
      <c r="L136" s="31"/>
      <c r="M136" s="33">
        <f>+F136</f>
        <v>235</v>
      </c>
      <c r="N136" s="42"/>
      <c r="O136" s="36">
        <f>+I136</f>
        <v>0.5</v>
      </c>
      <c r="P136" s="37">
        <f t="shared" si="13"/>
        <v>117.5</v>
      </c>
      <c r="Q136" s="54"/>
      <c r="S136" s="110" t="str">
        <f>+E136</f>
        <v>Battens</v>
      </c>
      <c r="T136" s="114">
        <f>+K136</f>
        <v>117.5</v>
      </c>
      <c r="U136" s="12"/>
      <c r="V136" s="12">
        <v>60</v>
      </c>
      <c r="W136" s="19">
        <f>ROUND(+IF(V136&gt;0,T136/V136,""),2)</f>
        <v>1.96</v>
      </c>
      <c r="X136" s="111"/>
    </row>
    <row r="137" spans="1:24" ht="12.75" hidden="1" outlineLevel="1">
      <c r="A137" s="60"/>
      <c r="B137" s="61"/>
      <c r="C137" s="64"/>
      <c r="D137" s="63"/>
      <c r="E137" s="38"/>
      <c r="F137" s="33"/>
      <c r="G137" s="42"/>
      <c r="H137" s="43"/>
      <c r="I137" s="43"/>
      <c r="J137" s="36">
        <f t="shared" si="11"/>
      </c>
      <c r="K137" s="37">
        <f t="shared" si="12"/>
      </c>
      <c r="L137" s="31"/>
      <c r="M137" s="33"/>
      <c r="N137" s="42"/>
      <c r="O137" s="36"/>
      <c r="P137" s="37">
        <f t="shared" si="13"/>
      </c>
      <c r="Q137" s="54"/>
      <c r="S137" s="110"/>
      <c r="T137" s="12"/>
      <c r="U137" s="12"/>
      <c r="V137" s="12"/>
      <c r="W137" s="19"/>
      <c r="X137" s="111"/>
    </row>
    <row r="138" spans="1:24" ht="12.75" hidden="1" outlineLevel="1">
      <c r="A138" s="60"/>
      <c r="B138" s="61"/>
      <c r="C138" s="64"/>
      <c r="D138" s="63"/>
      <c r="E138" s="38" t="s">
        <v>109</v>
      </c>
      <c r="F138" s="33" t="s">
        <v>1</v>
      </c>
      <c r="G138" s="42"/>
      <c r="H138" s="43"/>
      <c r="I138" s="43">
        <v>50</v>
      </c>
      <c r="J138" s="36">
        <f t="shared" si="11"/>
        <v>50</v>
      </c>
      <c r="K138" s="37">
        <f t="shared" si="12"/>
        <v>50</v>
      </c>
      <c r="L138" s="31"/>
      <c r="M138" s="33" t="str">
        <f>+F138</f>
        <v>Item</v>
      </c>
      <c r="N138" s="42"/>
      <c r="O138" s="36">
        <f>+I138</f>
        <v>50</v>
      </c>
      <c r="P138" s="37">
        <f t="shared" si="13"/>
        <v>50</v>
      </c>
      <c r="Q138" s="54"/>
      <c r="S138" s="110" t="str">
        <f>+E138</f>
        <v>Caulk, staples, sundry materials</v>
      </c>
      <c r="T138" s="114">
        <f>+K138</f>
        <v>50</v>
      </c>
      <c r="U138" s="12"/>
      <c r="V138" s="12">
        <v>60</v>
      </c>
      <c r="W138" s="19">
        <f>ROUND(+IF(V138&gt;0,T138/V138,""),2)</f>
        <v>0.83</v>
      </c>
      <c r="X138" s="111"/>
    </row>
    <row r="139" spans="1:24" ht="12.75" hidden="1" outlineLevel="1">
      <c r="A139" s="60"/>
      <c r="B139" s="61"/>
      <c r="C139" s="64"/>
      <c r="D139" s="63"/>
      <c r="E139" s="38"/>
      <c r="F139" s="33"/>
      <c r="G139" s="42"/>
      <c r="H139" s="43"/>
      <c r="I139" s="43"/>
      <c r="J139" s="36">
        <f t="shared" si="11"/>
      </c>
      <c r="K139" s="37">
        <f t="shared" si="12"/>
      </c>
      <c r="L139" s="31"/>
      <c r="M139" s="33"/>
      <c r="N139" s="42"/>
      <c r="O139" s="36"/>
      <c r="P139" s="37">
        <f t="shared" si="13"/>
      </c>
      <c r="Q139" s="54"/>
      <c r="S139" s="110"/>
      <c r="T139" s="12"/>
      <c r="U139" s="12"/>
      <c r="V139" s="12"/>
      <c r="W139" s="19"/>
      <c r="X139" s="111"/>
    </row>
    <row r="140" spans="1:24" ht="12.75" hidden="1" outlineLevel="1">
      <c r="A140" s="60"/>
      <c r="B140" s="61"/>
      <c r="C140" s="64"/>
      <c r="D140" s="63"/>
      <c r="E140" s="38" t="s">
        <v>4</v>
      </c>
      <c r="F140" s="33">
        <v>4</v>
      </c>
      <c r="G140" s="42" t="s">
        <v>110</v>
      </c>
      <c r="H140" s="43">
        <v>8</v>
      </c>
      <c r="I140" s="43"/>
      <c r="J140" s="36">
        <f t="shared" si="11"/>
        <v>240</v>
      </c>
      <c r="K140" s="37">
        <f t="shared" si="12"/>
        <v>960</v>
      </c>
      <c r="L140" s="31" t="s">
        <v>111</v>
      </c>
      <c r="M140" s="33"/>
      <c r="N140" s="42"/>
      <c r="O140" s="36"/>
      <c r="P140" s="37">
        <f t="shared" si="13"/>
      </c>
      <c r="Q140" s="54"/>
      <c r="S140" s="110" t="str">
        <f>+E140</f>
        <v>Labour</v>
      </c>
      <c r="T140" s="114">
        <f>+K140</f>
        <v>960</v>
      </c>
      <c r="U140" s="12"/>
      <c r="V140" s="12">
        <v>60</v>
      </c>
      <c r="W140" s="19">
        <f>ROUND(+IF(V140&gt;0,T140/V140,""),2)</f>
        <v>16</v>
      </c>
      <c r="X140" s="111"/>
    </row>
    <row r="141" spans="1:24" ht="12.75" hidden="1" outlineLevel="1">
      <c r="A141" s="60"/>
      <c r="B141" s="61"/>
      <c r="C141" s="64"/>
      <c r="D141" s="63"/>
      <c r="E141" s="38"/>
      <c r="F141" s="33"/>
      <c r="G141" s="42"/>
      <c r="H141" s="43"/>
      <c r="I141" s="43"/>
      <c r="J141" s="36">
        <f t="shared" si="11"/>
      </c>
      <c r="K141" s="37">
        <f t="shared" si="12"/>
      </c>
      <c r="L141" s="31"/>
      <c r="M141" s="33"/>
      <c r="N141" s="42"/>
      <c r="O141" s="36"/>
      <c r="P141" s="37">
        <f t="shared" si="13"/>
      </c>
      <c r="Q141" s="54"/>
      <c r="S141" s="110"/>
      <c r="T141" s="12"/>
      <c r="U141" s="12"/>
      <c r="V141" s="12"/>
      <c r="W141" s="19"/>
      <c r="X141" s="111"/>
    </row>
    <row r="142" spans="1:24" ht="12.75" hidden="1" outlineLevel="1">
      <c r="A142" s="60"/>
      <c r="B142" s="61"/>
      <c r="C142" s="64"/>
      <c r="D142" s="63"/>
      <c r="E142" s="38" t="s">
        <v>112</v>
      </c>
      <c r="F142" s="33" t="s">
        <v>1</v>
      </c>
      <c r="G142" s="42"/>
      <c r="H142" s="43"/>
      <c r="I142" s="43"/>
      <c r="J142" s="36">
        <v>250</v>
      </c>
      <c r="K142" s="37">
        <f t="shared" si="12"/>
        <v>250</v>
      </c>
      <c r="L142" s="31"/>
      <c r="M142" s="33" t="s">
        <v>1</v>
      </c>
      <c r="N142" s="42"/>
      <c r="O142" s="36">
        <v>50</v>
      </c>
      <c r="P142" s="37">
        <f t="shared" si="13"/>
        <v>50</v>
      </c>
      <c r="Q142" s="54"/>
      <c r="S142" s="110" t="str">
        <f>+E142</f>
        <v>Allow for temporary boarding/ access</v>
      </c>
      <c r="T142" s="114">
        <f>+K142</f>
        <v>250</v>
      </c>
      <c r="U142" s="12"/>
      <c r="V142" s="12">
        <v>60</v>
      </c>
      <c r="W142" s="19">
        <f>ROUND(+IF(V142&gt;0,T142/V142,""),2)</f>
        <v>4.17</v>
      </c>
      <c r="X142" s="111"/>
    </row>
    <row r="143" spans="1:24" ht="12.75" hidden="1" outlineLevel="1">
      <c r="A143" s="60"/>
      <c r="B143" s="61"/>
      <c r="C143" s="64"/>
      <c r="D143" s="63"/>
      <c r="E143" s="38"/>
      <c r="F143" s="33"/>
      <c r="G143" s="42"/>
      <c r="H143" s="43"/>
      <c r="I143" s="43"/>
      <c r="J143" s="36"/>
      <c r="K143" s="37"/>
      <c r="L143" s="31"/>
      <c r="M143" s="33"/>
      <c r="N143" s="42"/>
      <c r="O143" s="36"/>
      <c r="P143" s="37"/>
      <c r="Q143" s="54"/>
      <c r="S143" s="110"/>
      <c r="T143" s="114"/>
      <c r="U143" s="12"/>
      <c r="V143" s="12"/>
      <c r="W143" s="19"/>
      <c r="X143" s="111"/>
    </row>
    <row r="144" spans="1:24" ht="12.75" hidden="1" outlineLevel="1">
      <c r="A144" s="60"/>
      <c r="B144" s="61"/>
      <c r="C144" s="64"/>
      <c r="D144" s="63"/>
      <c r="E144" s="38" t="s">
        <v>362</v>
      </c>
      <c r="F144" s="33">
        <v>10</v>
      </c>
      <c r="G144" s="34" t="s">
        <v>363</v>
      </c>
      <c r="H144" s="39"/>
      <c r="I144" s="39"/>
      <c r="J144" s="36">
        <f>SUM(K128:K143)</f>
        <v>1678.4504000000002</v>
      </c>
      <c r="K144" s="37">
        <f>+J144*F144%</f>
        <v>167.84504000000004</v>
      </c>
      <c r="L144" s="31"/>
      <c r="M144" s="33"/>
      <c r="N144" s="42"/>
      <c r="O144" s="36"/>
      <c r="P144" s="37"/>
      <c r="Q144" s="54"/>
      <c r="S144" s="110"/>
      <c r="T144" s="114"/>
      <c r="U144" s="12"/>
      <c r="V144" s="12"/>
      <c r="W144" s="19"/>
      <c r="X144" s="111"/>
    </row>
    <row r="145" spans="1:24" ht="12.75" collapsed="1">
      <c r="A145" s="60"/>
      <c r="B145" s="61"/>
      <c r="C145" s="64"/>
      <c r="D145" s="63"/>
      <c r="E145" s="38"/>
      <c r="F145" s="33"/>
      <c r="G145" s="42"/>
      <c r="H145" s="43"/>
      <c r="I145" s="43"/>
      <c r="J145" s="36">
        <f aca="true" t="shared" si="14" ref="J145:J151">IF(+I145+H145&gt;0,I145+(H145*labour),"")</f>
      </c>
      <c r="K145" s="37">
        <f>+IF(F145="item",J145,IF(F145&lt;&gt;0,F145*J145,""))</f>
      </c>
      <c r="L145" s="31"/>
      <c r="M145" s="33"/>
      <c r="N145" s="42"/>
      <c r="O145" s="36"/>
      <c r="P145" s="37">
        <f aca="true" t="shared" si="15" ref="P145:P152">+IF(M145="item",O145,IF(M145&lt;&gt;0,M145*O145,""))</f>
      </c>
      <c r="Q145" s="54"/>
      <c r="S145" s="110"/>
      <c r="T145" s="12"/>
      <c r="U145" s="12"/>
      <c r="V145" s="12"/>
      <c r="W145" s="19"/>
      <c r="X145" s="111"/>
    </row>
    <row r="146" spans="1:24" ht="15.75">
      <c r="A146" s="60"/>
      <c r="B146" s="61"/>
      <c r="C146" s="64"/>
      <c r="D146" s="63"/>
      <c r="E146" s="78" t="s">
        <v>113</v>
      </c>
      <c r="F146" s="79"/>
      <c r="G146" s="80"/>
      <c r="H146" s="81"/>
      <c r="I146" s="81"/>
      <c r="J146" s="82">
        <f t="shared" si="14"/>
      </c>
      <c r="K146" s="83">
        <f>+IF(F146="item",J146,IF(F146&lt;&gt;0,F146*J146,""))</f>
      </c>
      <c r="L146" s="84"/>
      <c r="M146" s="79"/>
      <c r="N146" s="80"/>
      <c r="O146" s="82"/>
      <c r="P146" s="83">
        <f t="shared" si="15"/>
      </c>
      <c r="Q146" s="85"/>
      <c r="R146" s="89"/>
      <c r="S146" s="117"/>
      <c r="T146" s="118"/>
      <c r="U146" s="118"/>
      <c r="V146" s="118"/>
      <c r="W146" s="119"/>
      <c r="X146" s="120"/>
    </row>
    <row r="147" spans="1:24" ht="12.75">
      <c r="A147" s="60"/>
      <c r="B147" s="61"/>
      <c r="C147" s="64"/>
      <c r="D147" s="63"/>
      <c r="E147" s="38"/>
      <c r="F147" s="33"/>
      <c r="G147" s="42"/>
      <c r="H147" s="43"/>
      <c r="I147" s="43"/>
      <c r="J147" s="36">
        <f t="shared" si="14"/>
      </c>
      <c r="K147" s="37">
        <f>+IF(F147="item",J147,IF(F147&lt;&gt;0,F147*J147,""))</f>
      </c>
      <c r="L147" s="31"/>
      <c r="M147" s="33"/>
      <c r="N147" s="42"/>
      <c r="O147" s="36"/>
      <c r="P147" s="37">
        <f t="shared" si="15"/>
      </c>
      <c r="Q147" s="54"/>
      <c r="S147" s="110"/>
      <c r="T147" s="12"/>
      <c r="U147" s="12"/>
      <c r="V147" s="12"/>
      <c r="W147" s="19"/>
      <c r="X147" s="111"/>
    </row>
    <row r="148" spans="1:24" ht="25.5">
      <c r="A148" s="60"/>
      <c r="B148" s="61"/>
      <c r="C148" s="64"/>
      <c r="D148" s="63"/>
      <c r="E148" s="77" t="s">
        <v>114</v>
      </c>
      <c r="F148" s="33"/>
      <c r="G148" s="42"/>
      <c r="H148" s="43"/>
      <c r="I148" s="43"/>
      <c r="J148" s="36">
        <f t="shared" si="14"/>
      </c>
      <c r="K148" s="53">
        <f>SUM(K150:K155)</f>
        <v>137.53740000000002</v>
      </c>
      <c r="L148" s="31"/>
      <c r="M148" s="72"/>
      <c r="N148" s="73"/>
      <c r="O148" s="74"/>
      <c r="P148" s="75">
        <f t="shared" si="15"/>
      </c>
      <c r="Q148" s="76"/>
      <c r="S148" s="110"/>
      <c r="T148" s="12"/>
      <c r="U148" s="12"/>
      <c r="V148" s="12"/>
      <c r="W148" s="112">
        <f>SUM(W149:W152)</f>
        <v>5</v>
      </c>
      <c r="X148" s="111"/>
    </row>
    <row r="149" spans="1:24" ht="12.75">
      <c r="A149" s="60"/>
      <c r="B149" s="61"/>
      <c r="C149" s="64"/>
      <c r="D149" s="63"/>
      <c r="E149" s="38"/>
      <c r="F149" s="33"/>
      <c r="G149" s="42"/>
      <c r="H149" s="43"/>
      <c r="I149" s="43"/>
      <c r="J149" s="36">
        <f t="shared" si="14"/>
      </c>
      <c r="K149" s="37">
        <f>+IF(F149="item",J149,IF(F149&lt;&gt;0,F149*J149,""))</f>
      </c>
      <c r="L149" s="31"/>
      <c r="M149" s="72"/>
      <c r="N149" s="73"/>
      <c r="O149" s="74"/>
      <c r="P149" s="75">
        <f t="shared" si="15"/>
      </c>
      <c r="Q149" s="76"/>
      <c r="S149" s="113" t="s">
        <v>257</v>
      </c>
      <c r="T149" s="12"/>
      <c r="U149" s="12"/>
      <c r="V149" s="12"/>
      <c r="W149" s="19"/>
      <c r="X149" s="111"/>
    </row>
    <row r="150" spans="1:24" ht="12.75" hidden="1" outlineLevel="1">
      <c r="A150" s="60"/>
      <c r="B150" s="61"/>
      <c r="C150" s="64"/>
      <c r="D150" s="63"/>
      <c r="E150" s="38" t="s">
        <v>115</v>
      </c>
      <c r="F150" s="33">
        <v>2</v>
      </c>
      <c r="G150" s="42" t="s">
        <v>8</v>
      </c>
      <c r="H150" s="43">
        <v>1</v>
      </c>
      <c r="I150" s="43">
        <f>PIR</f>
        <v>30.017000000000003</v>
      </c>
      <c r="J150" s="36">
        <f t="shared" si="14"/>
        <v>60.017</v>
      </c>
      <c r="K150" s="37">
        <f>+IF(F150="item",J150,IF(F150&lt;&gt;0,F150*J150,""))</f>
        <v>120.034</v>
      </c>
      <c r="L150" s="31" t="s">
        <v>364</v>
      </c>
      <c r="M150" s="72"/>
      <c r="N150" s="73"/>
      <c r="O150" s="74"/>
      <c r="P150" s="75">
        <f t="shared" si="15"/>
      </c>
      <c r="Q150" s="76"/>
      <c r="S150" s="110" t="str">
        <f>+E150</f>
        <v>Timeguard ZV810</v>
      </c>
      <c r="T150" s="114">
        <f>+K150</f>
        <v>120.034</v>
      </c>
      <c r="U150" s="12"/>
      <c r="V150" s="12">
        <v>25</v>
      </c>
      <c r="W150" s="19">
        <f>ROUND(+IF(V150&gt;0,T150/V150,""),2)</f>
        <v>4.8</v>
      </c>
      <c r="X150" s="111"/>
    </row>
    <row r="151" spans="1:24" ht="12.75" hidden="1" outlineLevel="1">
      <c r="A151" s="60"/>
      <c r="B151" s="61"/>
      <c r="C151" s="64"/>
      <c r="D151" s="63"/>
      <c r="E151" s="38"/>
      <c r="F151" s="33"/>
      <c r="G151" s="42"/>
      <c r="H151" s="43"/>
      <c r="I151" s="43"/>
      <c r="J151" s="36">
        <f t="shared" si="14"/>
      </c>
      <c r="K151" s="37">
        <f>+IF(F151="item",J151,IF(F151&lt;&gt;0,F151*J151,""))</f>
      </c>
      <c r="L151" s="31"/>
      <c r="M151" s="72"/>
      <c r="N151" s="73"/>
      <c r="O151" s="74"/>
      <c r="P151" s="75">
        <f t="shared" si="15"/>
      </c>
      <c r="Q151" s="76"/>
      <c r="S151" s="110"/>
      <c r="T151" s="12"/>
      <c r="U151" s="12"/>
      <c r="V151" s="12"/>
      <c r="W151" s="19"/>
      <c r="X151" s="111"/>
    </row>
    <row r="152" spans="1:24" ht="12.75" hidden="1" outlineLevel="1">
      <c r="A152" s="60"/>
      <c r="B152" s="61"/>
      <c r="C152" s="64"/>
      <c r="D152" s="63"/>
      <c r="E152" s="38" t="s">
        <v>7</v>
      </c>
      <c r="F152" s="33" t="s">
        <v>1</v>
      </c>
      <c r="G152" s="42"/>
      <c r="H152" s="43"/>
      <c r="I152" s="43"/>
      <c r="J152" s="36">
        <v>5</v>
      </c>
      <c r="K152" s="37">
        <f>+IF(F152="item",J152,IF(F152&lt;&gt;0,F152*J152,""))</f>
        <v>5</v>
      </c>
      <c r="L152" s="31"/>
      <c r="M152" s="72"/>
      <c r="N152" s="73"/>
      <c r="O152" s="74"/>
      <c r="P152" s="75">
        <f t="shared" si="15"/>
      </c>
      <c r="Q152" s="76"/>
      <c r="S152" s="110" t="str">
        <f>+E152</f>
        <v>Delivery</v>
      </c>
      <c r="T152" s="114">
        <f>+K152</f>
        <v>5</v>
      </c>
      <c r="U152" s="12"/>
      <c r="V152" s="12">
        <v>25</v>
      </c>
      <c r="W152" s="19">
        <f>ROUND(+IF(V152&gt;0,T152/V152,""),2)</f>
        <v>0.2</v>
      </c>
      <c r="X152" s="111"/>
    </row>
    <row r="153" spans="1:24" ht="12.75" hidden="1" outlineLevel="1">
      <c r="A153" s="60"/>
      <c r="B153" s="61"/>
      <c r="C153" s="64"/>
      <c r="D153" s="63"/>
      <c r="E153" s="38"/>
      <c r="F153" s="33"/>
      <c r="G153" s="42"/>
      <c r="H153" s="43"/>
      <c r="I153" s="43"/>
      <c r="J153" s="36"/>
      <c r="K153" s="37"/>
      <c r="L153" s="31"/>
      <c r="M153" s="72"/>
      <c r="N153" s="73"/>
      <c r="O153" s="74"/>
      <c r="P153" s="75"/>
      <c r="Q153" s="76"/>
      <c r="S153" s="110"/>
      <c r="T153" s="114"/>
      <c r="U153" s="12"/>
      <c r="V153" s="12"/>
      <c r="W153" s="19"/>
      <c r="X153" s="111"/>
    </row>
    <row r="154" spans="1:24" ht="12.75" hidden="1" outlineLevel="1">
      <c r="A154" s="60"/>
      <c r="B154" s="61"/>
      <c r="C154" s="64"/>
      <c r="D154" s="63"/>
      <c r="E154" s="38" t="s">
        <v>362</v>
      </c>
      <c r="F154" s="33">
        <v>10</v>
      </c>
      <c r="G154" s="34" t="s">
        <v>363</v>
      </c>
      <c r="H154" s="39"/>
      <c r="I154" s="39"/>
      <c r="J154" s="36">
        <f>SUM(K150:K153)</f>
        <v>125.034</v>
      </c>
      <c r="K154" s="37">
        <f>+J154*F154%</f>
        <v>12.503400000000001</v>
      </c>
      <c r="L154" s="31"/>
      <c r="M154" s="72"/>
      <c r="N154" s="73"/>
      <c r="O154" s="74"/>
      <c r="P154" s="75"/>
      <c r="Q154" s="76"/>
      <c r="S154" s="110"/>
      <c r="T154" s="114"/>
      <c r="U154" s="12"/>
      <c r="V154" s="12"/>
      <c r="W154" s="19"/>
      <c r="X154" s="111"/>
    </row>
    <row r="155" spans="1:24" ht="12.75" collapsed="1">
      <c r="A155" s="60"/>
      <c r="B155" s="61"/>
      <c r="C155" s="64"/>
      <c r="D155" s="63"/>
      <c r="E155" s="38"/>
      <c r="F155" s="33"/>
      <c r="G155" s="42"/>
      <c r="H155" s="43"/>
      <c r="I155" s="43"/>
      <c r="J155" s="36">
        <f>IF(+I155+H155&gt;0,I155+(H155*labour),"")</f>
      </c>
      <c r="K155" s="37">
        <f>+IF(F155="item",J155,IF(F155&lt;&gt;0,F155*J155,""))</f>
      </c>
      <c r="L155" s="31"/>
      <c r="M155" s="33"/>
      <c r="N155" s="42"/>
      <c r="O155" s="36"/>
      <c r="P155" s="37">
        <f>+IF(M155="item",O155,IF(M155&lt;&gt;0,M155*O155,""))</f>
      </c>
      <c r="Q155" s="54"/>
      <c r="S155" s="110"/>
      <c r="T155" s="12"/>
      <c r="U155" s="12"/>
      <c r="V155" s="12"/>
      <c r="W155" s="19"/>
      <c r="X155" s="111"/>
    </row>
    <row r="156" spans="1:24" ht="12.75">
      <c r="A156" s="60"/>
      <c r="B156" s="61"/>
      <c r="C156" s="64"/>
      <c r="D156" s="63"/>
      <c r="E156" s="38"/>
      <c r="F156" s="33"/>
      <c r="G156" s="42"/>
      <c r="H156" s="43"/>
      <c r="I156" s="43"/>
      <c r="J156" s="36">
        <f>IF(+I156+H156&gt;0,I156+(H156*labour),"")</f>
      </c>
      <c r="K156" s="37">
        <f>+IF(F156="item",J156,IF(F156&lt;&gt;0,F156*J156,""))</f>
      </c>
      <c r="L156" s="31"/>
      <c r="M156" s="33"/>
      <c r="N156" s="42"/>
      <c r="O156" s="36"/>
      <c r="P156" s="37">
        <f>+IF(M156="item",O156,IF(M156&lt;&gt;0,M156*O156,""))</f>
      </c>
      <c r="Q156" s="54"/>
      <c r="S156" s="110"/>
      <c r="T156" s="12"/>
      <c r="U156" s="12"/>
      <c r="V156" s="12"/>
      <c r="W156" s="19"/>
      <c r="X156" s="111"/>
    </row>
    <row r="157" spans="1:24" ht="25.5">
      <c r="A157" s="60"/>
      <c r="B157" s="61"/>
      <c r="C157" s="64"/>
      <c r="D157" s="63"/>
      <c r="E157" s="77" t="s">
        <v>120</v>
      </c>
      <c r="F157" s="33"/>
      <c r="G157" s="42"/>
      <c r="H157" s="43"/>
      <c r="I157" s="43"/>
      <c r="J157" s="36">
        <f>IF(+I157+H157&gt;0,I157+(H157*labour),"")</f>
      </c>
      <c r="K157" s="53">
        <f>SUM(K158:K164)</f>
        <v>975.8925</v>
      </c>
      <c r="L157" s="31"/>
      <c r="M157" s="33"/>
      <c r="N157" s="42"/>
      <c r="O157" s="36"/>
      <c r="P157" s="53">
        <f>SUM(P158:P162)</f>
        <v>457.17499999999995</v>
      </c>
      <c r="Q157" s="54"/>
      <c r="S157" s="110"/>
      <c r="T157" s="12"/>
      <c r="U157" s="12"/>
      <c r="V157" s="12"/>
      <c r="W157" s="112"/>
      <c r="X157" s="116" t="s">
        <v>265</v>
      </c>
    </row>
    <row r="158" spans="1:24" ht="12.75" hidden="1" outlineLevel="1">
      <c r="A158" s="60"/>
      <c r="B158" s="61"/>
      <c r="C158" s="64"/>
      <c r="D158" s="63"/>
      <c r="E158" s="44" t="s">
        <v>121</v>
      </c>
      <c r="F158" s="33">
        <v>3</v>
      </c>
      <c r="G158" s="42" t="s">
        <v>8</v>
      </c>
      <c r="H158" s="43">
        <v>4</v>
      </c>
      <c r="I158" s="43">
        <f>register250</f>
        <v>140.725</v>
      </c>
      <c r="J158" s="36">
        <f>IF(+I158+H158&gt;0,I158+(H158*labour),"")</f>
        <v>260.725</v>
      </c>
      <c r="K158" s="37">
        <f>+IF(F158="item",J158,IF(F158&lt;&gt;0,F158*J158,""))</f>
        <v>782.1750000000001</v>
      </c>
      <c r="L158" s="31" t="s">
        <v>124</v>
      </c>
      <c r="M158" s="33">
        <f>+F158</f>
        <v>3</v>
      </c>
      <c r="N158" s="42"/>
      <c r="O158" s="36">
        <f>+I158</f>
        <v>140.725</v>
      </c>
      <c r="P158" s="37">
        <f>+IF(M158="item",O158,IF(M158&lt;&gt;0,M158*O158,""))</f>
        <v>422.17499999999995</v>
      </c>
      <c r="Q158" s="54"/>
      <c r="S158" s="110"/>
      <c r="T158" s="114"/>
      <c r="U158" s="12"/>
      <c r="V158" s="12"/>
      <c r="W158" s="19"/>
      <c r="X158" s="111"/>
    </row>
    <row r="159" spans="1:24" ht="12.75" hidden="1" outlineLevel="1">
      <c r="A159" s="60"/>
      <c r="B159" s="61"/>
      <c r="C159" s="64"/>
      <c r="D159" s="63"/>
      <c r="E159" s="44"/>
      <c r="F159" s="33"/>
      <c r="G159" s="42"/>
      <c r="H159" s="43"/>
      <c r="I159" s="43"/>
      <c r="J159" s="36"/>
      <c r="K159" s="37">
        <f>+IF(F159="item",J159,IF(F159&lt;&gt;0,F159*J159,""))</f>
      </c>
      <c r="L159" s="31"/>
      <c r="M159" s="33"/>
      <c r="N159" s="42"/>
      <c r="O159" s="36"/>
      <c r="P159" s="37">
        <f>+IF(M159="item",O159,IF(M159&lt;&gt;0,M159*O159,""))</f>
      </c>
      <c r="Q159" s="54"/>
      <c r="S159" s="110"/>
      <c r="T159" s="12"/>
      <c r="U159" s="12"/>
      <c r="V159" s="12"/>
      <c r="W159" s="19"/>
      <c r="X159" s="111"/>
    </row>
    <row r="160" spans="1:24" ht="12.75" hidden="1" outlineLevel="1">
      <c r="A160" s="60"/>
      <c r="B160" s="61"/>
      <c r="C160" s="64"/>
      <c r="D160" s="63"/>
      <c r="E160" s="44" t="s">
        <v>125</v>
      </c>
      <c r="F160" s="33">
        <v>3</v>
      </c>
      <c r="G160" s="42" t="s">
        <v>8</v>
      </c>
      <c r="H160" s="43"/>
      <c r="I160" s="43"/>
      <c r="J160" s="36">
        <v>25</v>
      </c>
      <c r="K160" s="37">
        <f>+IF(F160="item",J160,IF(F160&lt;&gt;0,F160*J160,""))</f>
        <v>75</v>
      </c>
      <c r="L160" s="31"/>
      <c r="M160" s="33">
        <v>1</v>
      </c>
      <c r="N160" s="42" t="s">
        <v>8</v>
      </c>
      <c r="O160" s="36">
        <f>+J160</f>
        <v>25</v>
      </c>
      <c r="P160" s="37">
        <f>+IF(M160="item",O160,IF(M160&lt;&gt;0,M160*O160,""))</f>
        <v>25</v>
      </c>
      <c r="Q160" s="54"/>
      <c r="S160" s="110"/>
      <c r="T160" s="114"/>
      <c r="U160" s="12"/>
      <c r="V160" s="12"/>
      <c r="W160" s="19"/>
      <c r="X160" s="111"/>
    </row>
    <row r="161" spans="1:24" ht="12.75" hidden="1" outlineLevel="1">
      <c r="A161" s="60"/>
      <c r="B161" s="61"/>
      <c r="C161" s="64"/>
      <c r="D161" s="63"/>
      <c r="E161" s="44"/>
      <c r="F161" s="33"/>
      <c r="G161" s="42"/>
      <c r="H161" s="43"/>
      <c r="I161" s="43"/>
      <c r="J161" s="36">
        <f>IF(+I161+H161&gt;0,I161+(H161*labour),"")</f>
      </c>
      <c r="K161" s="37">
        <f>+IF(F161="item",J161,IF(F161&lt;&gt;0,F161*J161,""))</f>
      </c>
      <c r="L161" s="31"/>
      <c r="M161" s="33"/>
      <c r="N161" s="42"/>
      <c r="O161" s="36"/>
      <c r="P161" s="37">
        <f>+IF(M161="item",O161,IF(M161&lt;&gt;0,M161*O161,""))</f>
      </c>
      <c r="Q161" s="54"/>
      <c r="S161" s="110"/>
      <c r="T161" s="12"/>
      <c r="U161" s="12"/>
      <c r="V161" s="12"/>
      <c r="W161" s="19"/>
      <c r="X161" s="111"/>
    </row>
    <row r="162" spans="1:24" ht="12.75" hidden="1" outlineLevel="1">
      <c r="A162" s="60"/>
      <c r="B162" s="61"/>
      <c r="C162" s="64"/>
      <c r="D162" s="63"/>
      <c r="E162" s="44" t="s">
        <v>7</v>
      </c>
      <c r="F162" s="33">
        <v>3</v>
      </c>
      <c r="G162" s="42" t="s">
        <v>8</v>
      </c>
      <c r="H162" s="43"/>
      <c r="I162" s="43"/>
      <c r="J162" s="36">
        <v>10</v>
      </c>
      <c r="K162" s="37">
        <f>+IF(F162="item",J162,IF(F162&lt;&gt;0,F162*J162,""))</f>
        <v>30</v>
      </c>
      <c r="L162" s="31"/>
      <c r="M162" s="33">
        <v>1</v>
      </c>
      <c r="N162" s="42" t="s">
        <v>8</v>
      </c>
      <c r="O162" s="36">
        <f>+J162</f>
        <v>10</v>
      </c>
      <c r="P162" s="37">
        <f>+IF(M162="item",O162,IF(M162&lt;&gt;0,M162*O162,""))</f>
        <v>10</v>
      </c>
      <c r="Q162" s="54"/>
      <c r="S162" s="110"/>
      <c r="T162" s="114"/>
      <c r="U162" s="12"/>
      <c r="V162" s="12"/>
      <c r="W162" s="19"/>
      <c r="X162" s="111"/>
    </row>
    <row r="163" spans="1:24" ht="12.75" hidden="1" outlineLevel="1">
      <c r="A163" s="60"/>
      <c r="B163" s="61"/>
      <c r="C163" s="64"/>
      <c r="D163" s="63"/>
      <c r="E163" s="44"/>
      <c r="F163" s="33"/>
      <c r="G163" s="42"/>
      <c r="H163" s="43"/>
      <c r="I163" s="43"/>
      <c r="J163" s="36"/>
      <c r="K163" s="37"/>
      <c r="L163" s="31"/>
      <c r="M163" s="33"/>
      <c r="N163" s="42"/>
      <c r="O163" s="36"/>
      <c r="P163" s="37"/>
      <c r="Q163" s="54"/>
      <c r="S163" s="110"/>
      <c r="T163" s="114"/>
      <c r="U163" s="12"/>
      <c r="V163" s="12"/>
      <c r="W163" s="19"/>
      <c r="X163" s="111"/>
    </row>
    <row r="164" spans="1:24" ht="12.75" hidden="1" outlineLevel="1">
      <c r="A164" s="60"/>
      <c r="B164" s="61"/>
      <c r="C164" s="64"/>
      <c r="D164" s="63"/>
      <c r="E164" s="38" t="s">
        <v>362</v>
      </c>
      <c r="F164" s="33">
        <v>10</v>
      </c>
      <c r="G164" s="34" t="s">
        <v>363</v>
      </c>
      <c r="H164" s="39"/>
      <c r="I164" s="39"/>
      <c r="J164" s="36">
        <f>SUM(K158:K163)</f>
        <v>887.1750000000001</v>
      </c>
      <c r="K164" s="37">
        <f>+J164*F164%</f>
        <v>88.71750000000002</v>
      </c>
      <c r="L164" s="31"/>
      <c r="M164" s="33"/>
      <c r="N164" s="42"/>
      <c r="O164" s="36"/>
      <c r="P164" s="37"/>
      <c r="Q164" s="54"/>
      <c r="S164" s="110"/>
      <c r="T164" s="114"/>
      <c r="U164" s="12"/>
      <c r="V164" s="12"/>
      <c r="W164" s="19"/>
      <c r="X164" s="111"/>
    </row>
    <row r="165" spans="1:24" ht="12.75" collapsed="1">
      <c r="A165" s="60"/>
      <c r="B165" s="61"/>
      <c r="C165" s="64"/>
      <c r="D165" s="63"/>
      <c r="E165" s="44"/>
      <c r="F165" s="33"/>
      <c r="G165" s="42"/>
      <c r="H165" s="43"/>
      <c r="I165" s="43"/>
      <c r="J165" s="36">
        <f>IF(+I165+H165&gt;0,I165+(H165*labour),"")</f>
      </c>
      <c r="K165" s="37">
        <f>+IF(F165="item",J165,IF(F165&lt;&gt;0,F165*J165,""))</f>
      </c>
      <c r="L165" s="31"/>
      <c r="M165" s="33"/>
      <c r="N165" s="42"/>
      <c r="O165" s="36"/>
      <c r="P165" s="37">
        <f>+IF(M165="item",O165,IF(M165&lt;&gt;0,M165*O165,""))</f>
      </c>
      <c r="Q165" s="54"/>
      <c r="S165" s="110"/>
      <c r="T165" s="12"/>
      <c r="U165" s="12"/>
      <c r="V165" s="12"/>
      <c r="W165" s="19"/>
      <c r="X165" s="111"/>
    </row>
    <row r="166" spans="1:24" ht="25.5" customHeight="1">
      <c r="A166" s="60"/>
      <c r="B166" s="61"/>
      <c r="C166" s="64"/>
      <c r="D166" s="63"/>
      <c r="E166" s="139" t="s">
        <v>126</v>
      </c>
      <c r="F166" s="72"/>
      <c r="G166" s="73"/>
      <c r="H166" s="140"/>
      <c r="I166" s="140"/>
      <c r="J166" s="74">
        <f>IF(+I166+H166&gt;0,I166+(H166*labour),"")</f>
      </c>
      <c r="K166" s="75">
        <f>+IF(F166="item",J166,IF(F166&lt;&gt;0,F166*J166,""))</f>
      </c>
      <c r="L166" s="141" t="s">
        <v>322</v>
      </c>
      <c r="M166" s="72"/>
      <c r="N166" s="73"/>
      <c r="O166" s="74"/>
      <c r="P166" s="75">
        <f>+IF(M166="item",O166,IF(M166&lt;&gt;0,M166*O166,""))</f>
      </c>
      <c r="Q166" s="76"/>
      <c r="S166" s="110"/>
      <c r="T166" s="12"/>
      <c r="U166" s="12"/>
      <c r="V166" s="12"/>
      <c r="W166" s="112" t="e">
        <f>SUM(#REF!)</f>
        <v>#REF!</v>
      </c>
      <c r="X166" s="111"/>
    </row>
    <row r="167" spans="1:24" s="151" customFormat="1" ht="12.75">
      <c r="A167" s="143"/>
      <c r="B167" s="144"/>
      <c r="C167" s="86"/>
      <c r="D167" s="87"/>
      <c r="E167" s="77"/>
      <c r="F167" s="45"/>
      <c r="G167" s="42"/>
      <c r="H167" s="43"/>
      <c r="I167" s="43"/>
      <c r="J167" s="147"/>
      <c r="K167" s="148"/>
      <c r="L167" s="149"/>
      <c r="M167" s="45"/>
      <c r="N167" s="42"/>
      <c r="O167" s="147"/>
      <c r="P167" s="148"/>
      <c r="Q167" s="150"/>
      <c r="S167" s="152"/>
      <c r="T167" s="153"/>
      <c r="U167" s="153"/>
      <c r="V167" s="153"/>
      <c r="W167" s="166"/>
      <c r="X167" s="167"/>
    </row>
    <row r="168" spans="1:24" ht="12.75">
      <c r="A168" s="60"/>
      <c r="B168" s="61"/>
      <c r="C168" s="64"/>
      <c r="D168" s="63"/>
      <c r="E168" s="44"/>
      <c r="F168" s="33"/>
      <c r="G168" s="42"/>
      <c r="H168" s="43"/>
      <c r="I168" s="43"/>
      <c r="J168" s="36">
        <f>IF(+I168+H168&gt;0,I168+(H168*labour),"")</f>
      </c>
      <c r="K168" s="37">
        <f>+IF(F168="item",J168,IF(F168&lt;&gt;0,F168*J168,""))</f>
      </c>
      <c r="L168" s="31"/>
      <c r="M168" s="33"/>
      <c r="N168" s="42"/>
      <c r="O168" s="36"/>
      <c r="P168" s="37">
        <f>+IF(M168="item",O168,IF(M168&lt;&gt;0,M168*O168,""))</f>
      </c>
      <c r="Q168" s="54"/>
      <c r="S168" s="110"/>
      <c r="T168" s="12"/>
      <c r="U168" s="12"/>
      <c r="V168" s="12"/>
      <c r="W168" s="19"/>
      <c r="X168" s="111"/>
    </row>
    <row r="169" spans="1:24" s="151" customFormat="1" ht="25.5" customHeight="1">
      <c r="A169" s="143"/>
      <c r="B169" s="144"/>
      <c r="C169" s="86"/>
      <c r="D169" s="87"/>
      <c r="E169" s="77" t="s">
        <v>428</v>
      </c>
      <c r="F169" s="45"/>
      <c r="G169" s="42"/>
      <c r="H169" s="43"/>
      <c r="I169" s="43"/>
      <c r="J169" s="147">
        <f>IF(+I169+H169&gt;0,I169+(H169*labour),"")</f>
      </c>
      <c r="K169" s="169">
        <f>SUM(K171:K186)</f>
        <v>1908.7083333333335</v>
      </c>
      <c r="L169" s="149"/>
      <c r="M169" s="45"/>
      <c r="N169" s="42"/>
      <c r="O169" s="147"/>
      <c r="P169" s="148">
        <f>+IF(M169="item",O169,IF(M169&lt;&gt;0,M169*O169,""))</f>
      </c>
      <c r="Q169" s="150"/>
      <c r="S169" s="152"/>
      <c r="T169" s="153"/>
      <c r="U169" s="153"/>
      <c r="V169" s="153"/>
      <c r="W169" s="154"/>
      <c r="X169" s="167"/>
    </row>
    <row r="170" spans="1:24" ht="12.75" hidden="1" outlineLevel="1">
      <c r="A170" s="60"/>
      <c r="B170" s="61"/>
      <c r="C170" s="64"/>
      <c r="D170" s="63"/>
      <c r="E170" s="44"/>
      <c r="F170" s="33"/>
      <c r="G170" s="42"/>
      <c r="H170" s="43"/>
      <c r="I170" s="43"/>
      <c r="J170" s="36">
        <f>IF(+I170+H170&gt;0,I170+(H170*labour),"")</f>
      </c>
      <c r="K170" s="37">
        <f>+IF(F170="item",J170,IF(F170&lt;&gt;0,F170*J170,""))</f>
      </c>
      <c r="L170" s="31"/>
      <c r="M170" s="33"/>
      <c r="N170" s="42"/>
      <c r="O170" s="36"/>
      <c r="P170" s="37">
        <f>+IF(M170="item",O170,IF(M170&lt;&gt;0,M170*O170,""))</f>
      </c>
      <c r="Q170" s="54"/>
      <c r="S170" s="110"/>
      <c r="T170" s="12"/>
      <c r="U170" s="12"/>
      <c r="V170" s="12"/>
      <c r="W170" s="19"/>
      <c r="X170" s="111"/>
    </row>
    <row r="171" spans="1:24" ht="12.75" hidden="1" outlineLevel="1">
      <c r="A171" s="60"/>
      <c r="B171" s="61"/>
      <c r="C171" s="64"/>
      <c r="D171" s="63"/>
      <c r="E171" s="44" t="s">
        <v>429</v>
      </c>
      <c r="F171" s="33"/>
      <c r="G171" s="42"/>
      <c r="H171" s="43"/>
      <c r="I171" s="43"/>
      <c r="J171" s="36">
        <v>650</v>
      </c>
      <c r="K171" s="37">
        <f>+J171</f>
        <v>650</v>
      </c>
      <c r="L171" s="31" t="s">
        <v>430</v>
      </c>
      <c r="M171" s="33"/>
      <c r="N171" s="42"/>
      <c r="O171" s="36"/>
      <c r="P171" s="37"/>
      <c r="Q171" s="54"/>
      <c r="S171" s="110"/>
      <c r="T171" s="12"/>
      <c r="U171" s="12"/>
      <c r="V171" s="12"/>
      <c r="W171" s="19"/>
      <c r="X171" s="111"/>
    </row>
    <row r="172" spans="1:24" ht="12.75" hidden="1" outlineLevel="1">
      <c r="A172" s="60"/>
      <c r="B172" s="61"/>
      <c r="C172" s="64"/>
      <c r="D172" s="63"/>
      <c r="E172" s="44"/>
      <c r="F172" s="33"/>
      <c r="G172" s="42"/>
      <c r="H172" s="43"/>
      <c r="I172" s="43"/>
      <c r="J172" s="36"/>
      <c r="K172" s="37"/>
      <c r="L172" s="31"/>
      <c r="M172" s="33"/>
      <c r="N172" s="42"/>
      <c r="O172" s="36"/>
      <c r="P172" s="37"/>
      <c r="Q172" s="54"/>
      <c r="S172" s="110"/>
      <c r="T172" s="12"/>
      <c r="U172" s="12"/>
      <c r="V172" s="12"/>
      <c r="W172" s="19"/>
      <c r="X172" s="111"/>
    </row>
    <row r="173" spans="1:24" ht="12.75" hidden="1" outlineLevel="1">
      <c r="A173" s="60"/>
      <c r="B173" s="61"/>
      <c r="C173" s="64"/>
      <c r="D173" s="63"/>
      <c r="E173" s="44" t="s">
        <v>431</v>
      </c>
      <c r="F173" s="33">
        <f>+ROUND(D181,0)</f>
        <v>11</v>
      </c>
      <c r="G173" s="42" t="s">
        <v>215</v>
      </c>
      <c r="H173" s="43"/>
      <c r="I173" s="43"/>
      <c r="J173" s="36">
        <f>+polybeadbulk</f>
        <v>94.79166666666669</v>
      </c>
      <c r="K173" s="37">
        <f>+IF(F173="item",J173,IF(F173&lt;&gt;0,F173*J173,""))</f>
        <v>1042.7083333333335</v>
      </c>
      <c r="L173" s="31" t="s">
        <v>432</v>
      </c>
      <c r="M173" s="33"/>
      <c r="N173" s="42"/>
      <c r="O173" s="36"/>
      <c r="P173" s="37"/>
      <c r="Q173" s="54"/>
      <c r="S173" s="110"/>
      <c r="T173" s="12"/>
      <c r="U173" s="12"/>
      <c r="V173" s="12"/>
      <c r="W173" s="19"/>
      <c r="X173" s="111"/>
    </row>
    <row r="174" spans="1:24" ht="12.75" hidden="1" outlineLevel="1">
      <c r="A174" s="60"/>
      <c r="B174" s="61"/>
      <c r="C174" s="64">
        <v>10.5</v>
      </c>
      <c r="D174" s="63"/>
      <c r="E174" s="44"/>
      <c r="F174" s="33"/>
      <c r="G174" s="42"/>
      <c r="H174" s="43"/>
      <c r="I174" s="43"/>
      <c r="J174" s="36"/>
      <c r="K174" s="37"/>
      <c r="L174" s="31"/>
      <c r="M174" s="33"/>
      <c r="N174" s="42"/>
      <c r="O174" s="36"/>
      <c r="P174" s="37"/>
      <c r="Q174" s="54"/>
      <c r="S174" s="110"/>
      <c r="T174" s="12"/>
      <c r="U174" s="12"/>
      <c r="V174" s="12"/>
      <c r="W174" s="19"/>
      <c r="X174" s="111"/>
    </row>
    <row r="175" spans="1:24" ht="12.75" hidden="1" outlineLevel="1">
      <c r="A175" s="60"/>
      <c r="B175" s="61"/>
      <c r="C175" s="64">
        <v>5.9</v>
      </c>
      <c r="D175" s="63"/>
      <c r="E175" s="44"/>
      <c r="F175" s="33"/>
      <c r="G175" s="42"/>
      <c r="H175" s="43"/>
      <c r="I175" s="43"/>
      <c r="J175" s="36"/>
      <c r="K175" s="37"/>
      <c r="L175" s="31"/>
      <c r="M175" s="33"/>
      <c r="N175" s="42"/>
      <c r="O175" s="36"/>
      <c r="P175" s="37"/>
      <c r="Q175" s="54"/>
      <c r="S175" s="110"/>
      <c r="T175" s="12"/>
      <c r="U175" s="12"/>
      <c r="V175" s="12"/>
      <c r="W175" s="19"/>
      <c r="X175" s="111"/>
    </row>
    <row r="176" spans="1:24" ht="12.75" hidden="1" outlineLevel="1">
      <c r="A176" s="60"/>
      <c r="B176" s="61"/>
      <c r="C176" s="135">
        <v>0.23</v>
      </c>
      <c r="D176" s="63">
        <f>+C174*C175*C176</f>
        <v>14.248500000000002</v>
      </c>
      <c r="E176" s="44"/>
      <c r="F176" s="33"/>
      <c r="G176" s="42"/>
      <c r="H176" s="43"/>
      <c r="I176" s="43"/>
      <c r="J176" s="36"/>
      <c r="K176" s="37"/>
      <c r="L176" s="31"/>
      <c r="M176" s="33"/>
      <c r="N176" s="42"/>
      <c r="O176" s="36"/>
      <c r="P176" s="37"/>
      <c r="Q176" s="54"/>
      <c r="S176" s="110"/>
      <c r="T176" s="12"/>
      <c r="U176" s="12"/>
      <c r="V176" s="12"/>
      <c r="W176" s="19"/>
      <c r="X176" s="111"/>
    </row>
    <row r="177" spans="1:24" ht="12.75" hidden="1" outlineLevel="1">
      <c r="A177" s="60"/>
      <c r="B177" s="61">
        <v>-27</v>
      </c>
      <c r="C177" s="64">
        <v>10.5</v>
      </c>
      <c r="D177" s="63"/>
      <c r="E177" s="44"/>
      <c r="F177" s="33"/>
      <c r="G177" s="42"/>
      <c r="H177" s="43"/>
      <c r="I177" s="43"/>
      <c r="J177" s="36"/>
      <c r="K177" s="37"/>
      <c r="L177" s="31"/>
      <c r="M177" s="33"/>
      <c r="N177" s="42"/>
      <c r="O177" s="36"/>
      <c r="P177" s="37"/>
      <c r="Q177" s="54"/>
      <c r="S177" s="110"/>
      <c r="T177" s="12"/>
      <c r="U177" s="12"/>
      <c r="V177" s="12"/>
      <c r="W177" s="19"/>
      <c r="X177" s="111"/>
    </row>
    <row r="178" spans="1:24" ht="12.75" hidden="1" outlineLevel="1">
      <c r="A178" s="60"/>
      <c r="B178" s="61"/>
      <c r="C178" s="64">
        <v>0.05</v>
      </c>
      <c r="D178" s="63"/>
      <c r="E178" s="44"/>
      <c r="F178" s="33"/>
      <c r="G178" s="42"/>
      <c r="H178" s="43"/>
      <c r="I178" s="43"/>
      <c r="J178" s="36"/>
      <c r="K178" s="37"/>
      <c r="L178" s="31"/>
      <c r="M178" s="33"/>
      <c r="N178" s="42"/>
      <c r="O178" s="36"/>
      <c r="P178" s="37"/>
      <c r="Q178" s="54"/>
      <c r="S178" s="110"/>
      <c r="T178" s="12"/>
      <c r="U178" s="12"/>
      <c r="V178" s="12"/>
      <c r="W178" s="19"/>
      <c r="X178" s="111"/>
    </row>
    <row r="179" spans="1:24" ht="12.75" hidden="1" outlineLevel="1">
      <c r="A179" s="60"/>
      <c r="B179" s="61"/>
      <c r="C179" s="135">
        <v>0.23</v>
      </c>
      <c r="D179" s="63">
        <f>+C179*C178*C177*B177</f>
        <v>-3.26025</v>
      </c>
      <c r="E179" s="44"/>
      <c r="F179" s="33"/>
      <c r="G179" s="42"/>
      <c r="H179" s="43"/>
      <c r="I179" s="43"/>
      <c r="J179" s="36"/>
      <c r="K179" s="37"/>
      <c r="L179" s="31"/>
      <c r="M179" s="33"/>
      <c r="N179" s="42"/>
      <c r="O179" s="36"/>
      <c r="P179" s="37"/>
      <c r="Q179" s="54"/>
      <c r="S179" s="110"/>
      <c r="T179" s="12"/>
      <c r="U179" s="12"/>
      <c r="V179" s="12"/>
      <c r="W179" s="19"/>
      <c r="X179" s="111"/>
    </row>
    <row r="180" spans="1:24" ht="12.75" hidden="1" outlineLevel="1">
      <c r="A180" s="60"/>
      <c r="B180" s="61"/>
      <c r="C180" s="64"/>
      <c r="D180" s="65"/>
      <c r="E180" s="44"/>
      <c r="F180" s="33"/>
      <c r="G180" s="42"/>
      <c r="H180" s="43"/>
      <c r="I180" s="43"/>
      <c r="J180" s="36"/>
      <c r="K180" s="37"/>
      <c r="L180" s="31"/>
      <c r="M180" s="33"/>
      <c r="N180" s="42"/>
      <c r="O180" s="36"/>
      <c r="P180" s="37"/>
      <c r="Q180" s="54"/>
      <c r="S180" s="110"/>
      <c r="T180" s="12"/>
      <c r="U180" s="12"/>
      <c r="V180" s="12"/>
      <c r="W180" s="19"/>
      <c r="X180" s="111"/>
    </row>
    <row r="181" spans="1:24" ht="12.75" hidden="1" outlineLevel="1">
      <c r="A181" s="60"/>
      <c r="B181" s="61"/>
      <c r="C181" s="64"/>
      <c r="D181" s="65">
        <f>SUM(D175:D180)</f>
        <v>10.98825</v>
      </c>
      <c r="E181" s="44"/>
      <c r="F181" s="33"/>
      <c r="G181" s="42"/>
      <c r="H181" s="43"/>
      <c r="I181" s="43"/>
      <c r="J181" s="36"/>
      <c r="K181" s="37"/>
      <c r="L181" s="31"/>
      <c r="M181" s="33"/>
      <c r="N181" s="42"/>
      <c r="O181" s="36"/>
      <c r="P181" s="37"/>
      <c r="Q181" s="54"/>
      <c r="S181" s="110"/>
      <c r="T181" s="12"/>
      <c r="U181" s="12"/>
      <c r="V181" s="12"/>
      <c r="W181" s="19"/>
      <c r="X181" s="111"/>
    </row>
    <row r="182" spans="1:24" ht="12.75" hidden="1" outlineLevel="1">
      <c r="A182" s="60"/>
      <c r="B182" s="61"/>
      <c r="C182" s="64"/>
      <c r="D182" s="65"/>
      <c r="E182" s="44"/>
      <c r="F182" s="33"/>
      <c r="G182" s="42"/>
      <c r="H182" s="43"/>
      <c r="I182" s="43"/>
      <c r="J182" s="36"/>
      <c r="K182" s="37"/>
      <c r="L182" s="31"/>
      <c r="M182" s="33"/>
      <c r="N182" s="42"/>
      <c r="O182" s="36"/>
      <c r="P182" s="37"/>
      <c r="Q182" s="54"/>
      <c r="S182" s="110"/>
      <c r="T182" s="12"/>
      <c r="U182" s="12"/>
      <c r="V182" s="12"/>
      <c r="W182" s="19"/>
      <c r="X182" s="111"/>
    </row>
    <row r="183" spans="1:24" ht="12.75" hidden="1" outlineLevel="1">
      <c r="A183" s="60"/>
      <c r="B183" s="61"/>
      <c r="C183" s="64"/>
      <c r="D183" s="65"/>
      <c r="E183" s="44"/>
      <c r="F183" s="33"/>
      <c r="G183" s="42"/>
      <c r="H183" s="43"/>
      <c r="I183" s="43"/>
      <c r="J183" s="36"/>
      <c r="K183" s="37"/>
      <c r="L183" s="31"/>
      <c r="M183" s="33"/>
      <c r="N183" s="42"/>
      <c r="O183" s="36"/>
      <c r="P183" s="37"/>
      <c r="Q183" s="54"/>
      <c r="S183" s="110"/>
      <c r="T183" s="12"/>
      <c r="U183" s="12"/>
      <c r="V183" s="12"/>
      <c r="W183" s="19"/>
      <c r="X183" s="111"/>
    </row>
    <row r="184" spans="1:24" s="200" customFormat="1" ht="25.5" hidden="1" outlineLevel="1">
      <c r="A184" s="191"/>
      <c r="B184" s="192"/>
      <c r="C184" s="209"/>
      <c r="D184" s="194"/>
      <c r="E184" s="210" t="s">
        <v>435</v>
      </c>
      <c r="F184" s="14">
        <v>27</v>
      </c>
      <c r="G184" s="196" t="s">
        <v>8</v>
      </c>
      <c r="H184" s="197">
        <v>0.2</v>
      </c>
      <c r="I184" s="197">
        <v>2</v>
      </c>
      <c r="J184" s="198">
        <f>IF(+I184+H184&gt;0,I184+(H184*labour),"")</f>
        <v>8</v>
      </c>
      <c r="K184" s="199">
        <f>+IF(F184="item",J184,IF(F184&lt;&gt;0,F184*J184,""))</f>
        <v>216</v>
      </c>
      <c r="L184" s="31"/>
      <c r="M184" s="14"/>
      <c r="N184" s="196"/>
      <c r="O184" s="198"/>
      <c r="P184" s="199"/>
      <c r="Q184" s="54"/>
      <c r="S184" s="211"/>
      <c r="T184" s="206"/>
      <c r="U184" s="206"/>
      <c r="V184" s="206"/>
      <c r="W184" s="198"/>
      <c r="X184" s="207"/>
    </row>
    <row r="185" spans="1:24" ht="12.75" hidden="1" outlineLevel="1">
      <c r="A185" s="60"/>
      <c r="B185" s="61"/>
      <c r="C185" s="64"/>
      <c r="D185" s="63"/>
      <c r="E185" s="44"/>
      <c r="F185" s="33"/>
      <c r="G185" s="42"/>
      <c r="H185" s="43"/>
      <c r="I185" s="43"/>
      <c r="J185" s="36"/>
      <c r="K185" s="37"/>
      <c r="L185" s="31"/>
      <c r="M185" s="33"/>
      <c r="N185" s="42"/>
      <c r="O185" s="36"/>
      <c r="P185" s="37"/>
      <c r="Q185" s="54"/>
      <c r="S185" s="110"/>
      <c r="T185" s="12"/>
      <c r="U185" s="12"/>
      <c r="V185" s="12"/>
      <c r="W185" s="19"/>
      <c r="X185" s="111"/>
    </row>
    <row r="186" spans="1:24" ht="12.75" hidden="1" outlineLevel="1">
      <c r="A186" s="60"/>
      <c r="B186" s="61"/>
      <c r="C186" s="64"/>
      <c r="D186" s="63"/>
      <c r="E186" s="44"/>
      <c r="F186" s="33"/>
      <c r="G186" s="42"/>
      <c r="H186" s="43"/>
      <c r="I186" s="43"/>
      <c r="J186" s="36"/>
      <c r="K186" s="37"/>
      <c r="L186" s="31"/>
      <c r="M186" s="33"/>
      <c r="N186" s="42"/>
      <c r="O186" s="36"/>
      <c r="P186" s="37"/>
      <c r="Q186" s="54"/>
      <c r="S186" s="110"/>
      <c r="T186" s="12"/>
      <c r="U186" s="12"/>
      <c r="V186" s="12"/>
      <c r="W186" s="19"/>
      <c r="X186" s="111"/>
    </row>
    <row r="187" spans="1:24" ht="12.75" collapsed="1">
      <c r="A187" s="60"/>
      <c r="B187" s="61"/>
      <c r="C187" s="64"/>
      <c r="D187" s="63"/>
      <c r="E187" s="44"/>
      <c r="F187" s="33"/>
      <c r="G187" s="42"/>
      <c r="H187" s="43"/>
      <c r="I187" s="43"/>
      <c r="J187" s="36">
        <f>IF(+I187+H187&gt;0,I187+(H187*labour),"")</f>
      </c>
      <c r="K187" s="37">
        <f>+IF(F187="item",J187,IF(F187&lt;&gt;0,F187*J187,""))</f>
      </c>
      <c r="L187" s="31"/>
      <c r="M187" s="33"/>
      <c r="N187" s="42"/>
      <c r="O187" s="36"/>
      <c r="P187" s="37">
        <f>+IF(M187="item",O187,IF(M187&lt;&gt;0,M187*O187,""))</f>
      </c>
      <c r="Q187" s="54"/>
      <c r="S187" s="110"/>
      <c r="T187" s="12"/>
      <c r="U187" s="12"/>
      <c r="V187" s="12"/>
      <c r="W187" s="19"/>
      <c r="X187" s="111"/>
    </row>
    <row r="188" spans="1:24" ht="25.5">
      <c r="A188" s="60"/>
      <c r="B188" s="61"/>
      <c r="C188" s="64"/>
      <c r="D188" s="63"/>
      <c r="E188" s="77" t="s">
        <v>134</v>
      </c>
      <c r="F188" s="33"/>
      <c r="G188" s="42"/>
      <c r="H188" s="43"/>
      <c r="I188" s="43"/>
      <c r="J188" s="36">
        <f>IF(+I188+H188&gt;0,I188+(H188*labour),"")</f>
      </c>
      <c r="K188" s="37">
        <f>+IF(F188="item",J188,IF(F188&lt;&gt;0,F188*J188,""))</f>
      </c>
      <c r="L188" s="126" t="s">
        <v>141</v>
      </c>
      <c r="M188" s="72"/>
      <c r="N188" s="73"/>
      <c r="O188" s="74"/>
      <c r="P188" s="75">
        <f>+IF(M188="item",O188,IF(M188&lt;&gt;0,M188*O188,""))</f>
      </c>
      <c r="Q188" s="76"/>
      <c r="S188" s="110"/>
      <c r="T188" s="12"/>
      <c r="U188" s="12"/>
      <c r="V188" s="12"/>
      <c r="W188" s="19"/>
      <c r="X188" s="111"/>
    </row>
    <row r="189" spans="1:24" ht="12.75">
      <c r="A189" s="60"/>
      <c r="B189" s="61"/>
      <c r="C189" s="64"/>
      <c r="D189" s="63"/>
      <c r="E189" s="44"/>
      <c r="F189" s="33"/>
      <c r="G189" s="42"/>
      <c r="H189" s="43"/>
      <c r="I189" s="43"/>
      <c r="J189" s="36">
        <f>IF(+I189+H189&gt;0,I189+(H189*labour),"")</f>
      </c>
      <c r="K189" s="37">
        <f>+IF(F189="item",J189,IF(F189&lt;&gt;0,F189*J189,""))</f>
      </c>
      <c r="L189" s="31"/>
      <c r="M189" s="33"/>
      <c r="N189" s="42"/>
      <c r="O189" s="36"/>
      <c r="P189" s="37">
        <f>+IF(M189="item",O189,IF(M189&lt;&gt;0,M189*O189,""))</f>
      </c>
      <c r="Q189" s="54"/>
      <c r="S189" s="110"/>
      <c r="T189" s="12"/>
      <c r="U189" s="12"/>
      <c r="V189" s="12"/>
      <c r="W189" s="19"/>
      <c r="X189" s="111"/>
    </row>
    <row r="190" spans="1:24" ht="25.5">
      <c r="A190" s="60"/>
      <c r="B190" s="61"/>
      <c r="C190" s="64"/>
      <c r="D190" s="63"/>
      <c r="E190" s="77" t="s">
        <v>135</v>
      </c>
      <c r="F190" s="33"/>
      <c r="G190" s="42"/>
      <c r="H190" s="43"/>
      <c r="I190" s="43"/>
      <c r="J190" s="36">
        <f>IF(+I190+H190&gt;0,I190+(H190*labour),"")</f>
      </c>
      <c r="K190" s="53">
        <f>SUM(K191:K193)</f>
        <v>6000</v>
      </c>
      <c r="L190" s="31"/>
      <c r="M190" s="72"/>
      <c r="N190" s="73"/>
      <c r="O190" s="74"/>
      <c r="P190" s="75">
        <f>+IF(M190="item",O190,IF(M190&lt;&gt;0,M190*O190,""))</f>
      </c>
      <c r="Q190" s="76"/>
      <c r="S190" s="110"/>
      <c r="T190" s="12"/>
      <c r="U190" s="12"/>
      <c r="V190" s="12"/>
      <c r="W190" s="112"/>
      <c r="X190" s="116" t="s">
        <v>265</v>
      </c>
    </row>
    <row r="191" spans="1:24" ht="12.75" hidden="1" outlineLevel="1">
      <c r="A191" s="60"/>
      <c r="B191" s="61"/>
      <c r="C191" s="64"/>
      <c r="D191" s="63"/>
      <c r="E191" s="44"/>
      <c r="F191" s="33"/>
      <c r="G191" s="42"/>
      <c r="H191" s="43"/>
      <c r="I191" s="43"/>
      <c r="J191" s="36">
        <f>IF(+I191+H191&gt;0,I191+(H191*labour),"")</f>
      </c>
      <c r="K191" s="37">
        <f>+IF(F191="item",J191,IF(F191&lt;&gt;0,F191*J191,""))</f>
      </c>
      <c r="L191" s="31"/>
      <c r="M191" s="72"/>
      <c r="N191" s="73"/>
      <c r="O191" s="74"/>
      <c r="P191" s="75">
        <f>+IF(M191="item",O191,IF(M191&lt;&gt;0,M191*O191,""))</f>
      </c>
      <c r="Q191" s="76"/>
      <c r="S191" s="113"/>
      <c r="T191" s="12"/>
      <c r="U191" s="12"/>
      <c r="V191" s="12"/>
      <c r="W191" s="19"/>
      <c r="X191" s="111"/>
    </row>
    <row r="192" spans="1:24" ht="12.75" hidden="1" outlineLevel="1">
      <c r="A192" s="60"/>
      <c r="B192" s="61"/>
      <c r="C192" s="64"/>
      <c r="D192" s="63"/>
      <c r="E192" s="44" t="s">
        <v>136</v>
      </c>
      <c r="F192" s="33">
        <v>8</v>
      </c>
      <c r="G192" s="42" t="s">
        <v>8</v>
      </c>
      <c r="H192" s="43"/>
      <c r="I192" s="43"/>
      <c r="J192" s="36">
        <v>750</v>
      </c>
      <c r="K192" s="37">
        <f>+IF(F192="item",J192,IF(F192&lt;&gt;0,F192*J192,""))</f>
        <v>6000</v>
      </c>
      <c r="L192" s="31" t="s">
        <v>137</v>
      </c>
      <c r="M192" s="72"/>
      <c r="N192" s="73"/>
      <c r="O192" s="74"/>
      <c r="P192" s="75">
        <f>+IF(M192="item",O192,IF(M192&lt;&gt;0,M192*O192,""))</f>
      </c>
      <c r="Q192" s="76"/>
      <c r="S192" s="121"/>
      <c r="T192" s="114"/>
      <c r="U192" s="12"/>
      <c r="V192" s="12"/>
      <c r="W192" s="19"/>
      <c r="X192" s="111"/>
    </row>
    <row r="193" spans="1:24" ht="12.75" collapsed="1">
      <c r="A193" s="60"/>
      <c r="B193" s="61"/>
      <c r="C193" s="64"/>
      <c r="D193" s="63"/>
      <c r="E193" s="44"/>
      <c r="F193" s="33"/>
      <c r="G193" s="42"/>
      <c r="H193" s="43"/>
      <c r="I193" s="43"/>
      <c r="J193" s="36">
        <f>IF(+I193+H193&gt;0,I193+(H193*labour),"")</f>
      </c>
      <c r="K193" s="37">
        <f>+IF(F193="item",J193,IF(F193&lt;&gt;0,F193*J193,""))</f>
      </c>
      <c r="L193" s="31"/>
      <c r="M193" s="33"/>
      <c r="N193" s="42"/>
      <c r="O193" s="36"/>
      <c r="P193" s="37">
        <f>+IF(M193="item",O193,IF(M193&lt;&gt;0,M193*O193,""))</f>
      </c>
      <c r="Q193" s="54"/>
      <c r="S193" s="110"/>
      <c r="T193" s="12"/>
      <c r="U193" s="12"/>
      <c r="V193" s="12"/>
      <c r="W193" s="19"/>
      <c r="X193" s="111"/>
    </row>
    <row r="194" spans="1:24" ht="24.75" customHeight="1">
      <c r="A194" s="60"/>
      <c r="B194" s="61"/>
      <c r="C194" s="64"/>
      <c r="D194" s="63"/>
      <c r="E194" s="139" t="s">
        <v>138</v>
      </c>
      <c r="F194" s="72"/>
      <c r="G194" s="73"/>
      <c r="H194" s="140"/>
      <c r="I194" s="140"/>
      <c r="J194" s="74">
        <f>IF(+I194+H194&gt;0,I194+(H194*labour),"")</f>
      </c>
      <c r="K194" s="75">
        <f>+IF(F194="item",J194,IF(F194&lt;&gt;0,F194*J194,""))</f>
      </c>
      <c r="L194" s="141" t="s">
        <v>322</v>
      </c>
      <c r="M194" s="72"/>
      <c r="N194" s="73"/>
      <c r="O194" s="74"/>
      <c r="P194" s="75">
        <f>+IF(M194="item",O194,IF(M194&lt;&gt;0,M194*O194,""))</f>
      </c>
      <c r="Q194" s="76"/>
      <c r="S194" s="110"/>
      <c r="T194" s="114"/>
      <c r="U194" s="12"/>
      <c r="V194" s="12"/>
      <c r="W194" s="19"/>
      <c r="X194" s="116"/>
    </row>
    <row r="195" spans="1:24" ht="12.75">
      <c r="A195" s="60"/>
      <c r="B195" s="61"/>
      <c r="C195" s="62"/>
      <c r="D195" s="63"/>
      <c r="E195" s="77"/>
      <c r="F195" s="33"/>
      <c r="G195" s="42"/>
      <c r="H195" s="43"/>
      <c r="I195" s="43"/>
      <c r="J195" s="36"/>
      <c r="K195" s="37"/>
      <c r="L195" s="31"/>
      <c r="M195" s="33"/>
      <c r="N195" s="42"/>
      <c r="O195" s="36"/>
      <c r="P195" s="37"/>
      <c r="Q195" s="54"/>
      <c r="S195" s="110"/>
      <c r="T195" s="12"/>
      <c r="U195" s="12"/>
      <c r="V195" s="12"/>
      <c r="W195" s="19"/>
      <c r="X195" s="111"/>
    </row>
    <row r="196" spans="1:24" ht="12.75">
      <c r="A196" s="60"/>
      <c r="B196" s="61"/>
      <c r="C196" s="62"/>
      <c r="D196" s="63"/>
      <c r="E196" s="77"/>
      <c r="F196" s="33"/>
      <c r="G196" s="42"/>
      <c r="H196" s="43"/>
      <c r="I196" s="43"/>
      <c r="J196" s="36"/>
      <c r="K196" s="37"/>
      <c r="L196" s="31"/>
      <c r="M196" s="33"/>
      <c r="N196" s="42"/>
      <c r="O196" s="36"/>
      <c r="P196" s="37"/>
      <c r="Q196" s="54"/>
      <c r="S196" s="110"/>
      <c r="T196" s="12"/>
      <c r="U196" s="12"/>
      <c r="V196" s="12"/>
      <c r="W196" s="19"/>
      <c r="X196" s="111"/>
    </row>
    <row r="197" spans="1:24" s="151" customFormat="1" ht="25.5">
      <c r="A197" s="143"/>
      <c r="B197" s="144"/>
      <c r="C197" s="145"/>
      <c r="D197" s="146"/>
      <c r="E197" s="77" t="s">
        <v>139</v>
      </c>
      <c r="F197" s="45"/>
      <c r="G197" s="42"/>
      <c r="H197" s="43"/>
      <c r="I197" s="43"/>
      <c r="J197" s="147">
        <f>IF(+I197+H197&gt;0,I197+(H197*labour),"")</f>
      </c>
      <c r="K197" s="169">
        <f>SUM(K203:K225)</f>
        <v>10252.385956521739</v>
      </c>
      <c r="L197" s="149"/>
      <c r="M197" s="45"/>
      <c r="N197" s="42"/>
      <c r="O197" s="147"/>
      <c r="P197" s="148">
        <f>+IF(M197="item",O197,IF(M197&lt;&gt;0,M197*O197,""))</f>
      </c>
      <c r="Q197" s="150"/>
      <c r="S197" s="152"/>
      <c r="T197" s="153"/>
      <c r="U197" s="153"/>
      <c r="V197" s="153"/>
      <c r="W197" s="154"/>
      <c r="X197" s="155" t="s">
        <v>265</v>
      </c>
    </row>
    <row r="198" spans="1:24" s="151" customFormat="1" ht="12.75" hidden="1" outlineLevel="1">
      <c r="A198" s="143"/>
      <c r="B198" s="144"/>
      <c r="C198" s="145"/>
      <c r="D198" s="146"/>
      <c r="E198" s="77"/>
      <c r="F198" s="45"/>
      <c r="G198" s="42"/>
      <c r="H198" s="43"/>
      <c r="I198" s="43"/>
      <c r="J198" s="147"/>
      <c r="K198" s="148"/>
      <c r="L198" s="149"/>
      <c r="M198" s="45"/>
      <c r="N198" s="42"/>
      <c r="O198" s="147"/>
      <c r="P198" s="148"/>
      <c r="Q198" s="150"/>
      <c r="S198" s="152"/>
      <c r="T198" s="153"/>
      <c r="U198" s="153"/>
      <c r="V198" s="153"/>
      <c r="W198" s="154"/>
      <c r="X198" s="155"/>
    </row>
    <row r="199" spans="1:24" s="151" customFormat="1" ht="12.75" hidden="1" outlineLevel="1">
      <c r="A199" s="143"/>
      <c r="B199" s="144"/>
      <c r="C199" s="145"/>
      <c r="D199" s="146"/>
      <c r="E199" s="38" t="s">
        <v>60</v>
      </c>
      <c r="F199" s="33">
        <f>+F78</f>
        <v>27</v>
      </c>
      <c r="G199" s="34" t="s">
        <v>35</v>
      </c>
      <c r="H199" s="39">
        <v>0.2</v>
      </c>
      <c r="I199" s="39"/>
      <c r="J199" s="36">
        <f>IF(+I199+H199&gt;0,I199+(H199*labour),"")</f>
        <v>6</v>
      </c>
      <c r="K199" s="37">
        <f>+IF(F199="item",J199,IF(F199&lt;&gt;0,F199*J199,""))</f>
        <v>162</v>
      </c>
      <c r="L199" s="149"/>
      <c r="M199" s="45"/>
      <c r="N199" s="42"/>
      <c r="O199" s="147"/>
      <c r="P199" s="148"/>
      <c r="Q199" s="150"/>
      <c r="S199" s="152"/>
      <c r="T199" s="153"/>
      <c r="U199" s="153"/>
      <c r="V199" s="153"/>
      <c r="W199" s="154"/>
      <c r="X199" s="155"/>
    </row>
    <row r="200" spans="1:24" s="151" customFormat="1" ht="12.75" hidden="1" outlineLevel="1">
      <c r="A200" s="143"/>
      <c r="B200" s="144"/>
      <c r="C200" s="145"/>
      <c r="D200" s="146"/>
      <c r="E200" s="38"/>
      <c r="F200" s="33"/>
      <c r="G200" s="34"/>
      <c r="H200" s="39"/>
      <c r="I200" s="39"/>
      <c r="J200" s="36"/>
      <c r="K200" s="37"/>
      <c r="L200" s="149"/>
      <c r="M200" s="45"/>
      <c r="N200" s="42"/>
      <c r="O200" s="147"/>
      <c r="P200" s="148"/>
      <c r="Q200" s="150"/>
      <c r="S200" s="152"/>
      <c r="T200" s="153"/>
      <c r="U200" s="153"/>
      <c r="V200" s="153"/>
      <c r="W200" s="154"/>
      <c r="X200" s="155"/>
    </row>
    <row r="201" spans="1:24" s="151" customFormat="1" ht="12.75" hidden="1" outlineLevel="1">
      <c r="A201" s="143"/>
      <c r="B201" s="144"/>
      <c r="C201" s="145"/>
      <c r="D201" s="146"/>
      <c r="E201" s="38" t="s">
        <v>132</v>
      </c>
      <c r="F201" s="33">
        <f>+F85</f>
        <v>30</v>
      </c>
      <c r="G201" s="34" t="s">
        <v>108</v>
      </c>
      <c r="H201" s="39"/>
      <c r="I201" s="39">
        <v>0.5</v>
      </c>
      <c r="J201" s="36">
        <f>IF(+I201+H201&gt;0,I201+(H201*labour),"")</f>
        <v>0.5</v>
      </c>
      <c r="K201" s="37">
        <f>+IF(F201="item",J201,IF(F201&lt;&gt;0,F201*J201,""))</f>
        <v>15</v>
      </c>
      <c r="L201" s="149"/>
      <c r="M201" s="45"/>
      <c r="N201" s="42"/>
      <c r="O201" s="147"/>
      <c r="P201" s="148"/>
      <c r="Q201" s="150"/>
      <c r="S201" s="152"/>
      <c r="T201" s="153"/>
      <c r="U201" s="153"/>
      <c r="V201" s="153"/>
      <c r="W201" s="154"/>
      <c r="X201" s="155"/>
    </row>
    <row r="202" spans="1:24" s="151" customFormat="1" ht="12.75" hidden="1" outlineLevel="1">
      <c r="A202" s="143"/>
      <c r="B202" s="144"/>
      <c r="C202" s="145"/>
      <c r="D202" s="146"/>
      <c r="E202" s="77"/>
      <c r="F202" s="45"/>
      <c r="G202" s="42"/>
      <c r="H202" s="43"/>
      <c r="I202" s="43"/>
      <c r="J202" s="147"/>
      <c r="K202" s="148"/>
      <c r="L202" s="149"/>
      <c r="M202" s="45"/>
      <c r="N202" s="42"/>
      <c r="O202" s="147"/>
      <c r="P202" s="148"/>
      <c r="Q202" s="150"/>
      <c r="S202" s="152"/>
      <c r="T202" s="153"/>
      <c r="U202" s="153"/>
      <c r="V202" s="153"/>
      <c r="W202" s="154"/>
      <c r="X202" s="155"/>
    </row>
    <row r="203" spans="1:24" s="151" customFormat="1" ht="12.75" hidden="1" outlineLevel="1">
      <c r="A203" s="143"/>
      <c r="B203" s="144"/>
      <c r="C203" s="145"/>
      <c r="D203" s="146"/>
      <c r="E203" s="44" t="s">
        <v>281</v>
      </c>
      <c r="F203" s="45">
        <f>ROUND(D209,0)</f>
        <v>62</v>
      </c>
      <c r="G203" s="42" t="s">
        <v>35</v>
      </c>
      <c r="H203" s="43"/>
      <c r="I203" s="43"/>
      <c r="J203" s="147">
        <v>19.4</v>
      </c>
      <c r="K203" s="148">
        <f aca="true" t="shared" si="16" ref="K203:K221">+IF(F203="item",J203,IF(F203&lt;&gt;0,F203*J203,""))</f>
        <v>1202.8</v>
      </c>
      <c r="L203" s="149"/>
      <c r="M203" s="45"/>
      <c r="N203" s="42"/>
      <c r="O203" s="147"/>
      <c r="P203" s="148">
        <f aca="true" t="shared" si="17" ref="P203:P221">+IF(M203="item",O203,IF(M203&lt;&gt;0,M203*O203,""))</f>
      </c>
      <c r="Q203" s="150"/>
      <c r="S203" s="152"/>
      <c r="T203" s="153"/>
      <c r="U203" s="153"/>
      <c r="V203" s="153"/>
      <c r="W203" s="154"/>
      <c r="X203" s="155"/>
    </row>
    <row r="204" spans="1:24" s="151" customFormat="1" ht="12.75" hidden="1" outlineLevel="1">
      <c r="A204" s="143"/>
      <c r="B204" s="144"/>
      <c r="C204" s="145">
        <v>11.5</v>
      </c>
      <c r="D204" s="146"/>
      <c r="E204" s="44"/>
      <c r="F204" s="45"/>
      <c r="G204" s="42"/>
      <c r="H204" s="43"/>
      <c r="I204" s="43"/>
      <c r="J204" s="147"/>
      <c r="K204" s="148"/>
      <c r="L204" s="149"/>
      <c r="M204" s="45"/>
      <c r="N204" s="42"/>
      <c r="O204" s="147"/>
      <c r="P204" s="148"/>
      <c r="Q204" s="150"/>
      <c r="S204" s="152"/>
      <c r="T204" s="153"/>
      <c r="U204" s="153"/>
      <c r="V204" s="153"/>
      <c r="W204" s="154"/>
      <c r="X204" s="155"/>
    </row>
    <row r="205" spans="1:24" s="151" customFormat="1" ht="12.75" hidden="1" outlineLevel="1">
      <c r="A205" s="143"/>
      <c r="B205" s="144"/>
      <c r="C205" s="168">
        <v>4.7</v>
      </c>
      <c r="D205" s="87">
        <f>+C204*C205</f>
        <v>54.050000000000004</v>
      </c>
      <c r="E205" s="44"/>
      <c r="F205" s="45"/>
      <c r="G205" s="42"/>
      <c r="H205" s="43"/>
      <c r="I205" s="43"/>
      <c r="J205" s="147"/>
      <c r="K205" s="148"/>
      <c r="L205" s="149"/>
      <c r="M205" s="45"/>
      <c r="N205" s="42"/>
      <c r="O205" s="147"/>
      <c r="P205" s="148"/>
      <c r="Q205" s="150"/>
      <c r="S205" s="152"/>
      <c r="T205" s="153"/>
      <c r="U205" s="153"/>
      <c r="V205" s="153"/>
      <c r="W205" s="154"/>
      <c r="X205" s="155"/>
    </row>
    <row r="206" spans="1:24" s="151" customFormat="1" ht="12.75" hidden="1" outlineLevel="1">
      <c r="A206" s="143"/>
      <c r="B206" s="144"/>
      <c r="C206" s="145">
        <v>2</v>
      </c>
      <c r="D206" s="146"/>
      <c r="E206" s="44"/>
      <c r="F206" s="45"/>
      <c r="G206" s="42"/>
      <c r="H206" s="43"/>
      <c r="I206" s="43"/>
      <c r="J206" s="147"/>
      <c r="K206" s="148"/>
      <c r="L206" s="149"/>
      <c r="M206" s="45"/>
      <c r="N206" s="42"/>
      <c r="O206" s="147"/>
      <c r="P206" s="148"/>
      <c r="Q206" s="150"/>
      <c r="S206" s="152"/>
      <c r="T206" s="153"/>
      <c r="U206" s="153"/>
      <c r="V206" s="153"/>
      <c r="W206" s="154"/>
      <c r="X206" s="155"/>
    </row>
    <row r="207" spans="1:24" s="151" customFormat="1" ht="12.75" hidden="1" outlineLevel="1">
      <c r="A207" s="143"/>
      <c r="B207" s="144"/>
      <c r="C207" s="168">
        <v>4.2</v>
      </c>
      <c r="D207" s="87">
        <f>+C206*C207</f>
        <v>8.4</v>
      </c>
      <c r="E207" s="44"/>
      <c r="F207" s="45"/>
      <c r="G207" s="42"/>
      <c r="H207" s="43"/>
      <c r="I207" s="43"/>
      <c r="J207" s="147"/>
      <c r="K207" s="148"/>
      <c r="L207" s="149"/>
      <c r="M207" s="45"/>
      <c r="N207" s="42"/>
      <c r="O207" s="147"/>
      <c r="P207" s="148"/>
      <c r="Q207" s="150"/>
      <c r="S207" s="152"/>
      <c r="T207" s="153"/>
      <c r="U207" s="153"/>
      <c r="V207" s="153"/>
      <c r="W207" s="154"/>
      <c r="X207" s="155"/>
    </row>
    <row r="208" spans="1:24" s="151" customFormat="1" ht="12.75" hidden="1" outlineLevel="1">
      <c r="A208" s="143"/>
      <c r="B208" s="144"/>
      <c r="C208" s="145"/>
      <c r="D208" s="146"/>
      <c r="E208" s="44"/>
      <c r="F208" s="45"/>
      <c r="G208" s="42"/>
      <c r="H208" s="43"/>
      <c r="I208" s="43"/>
      <c r="J208" s="147"/>
      <c r="K208" s="148"/>
      <c r="L208" s="149"/>
      <c r="M208" s="45"/>
      <c r="N208" s="42"/>
      <c r="O208" s="147"/>
      <c r="P208" s="148"/>
      <c r="Q208" s="150"/>
      <c r="S208" s="152"/>
      <c r="T208" s="153"/>
      <c r="U208" s="153"/>
      <c r="V208" s="153"/>
      <c r="W208" s="154"/>
      <c r="X208" s="155"/>
    </row>
    <row r="209" spans="1:24" s="151" customFormat="1" ht="12.75" hidden="1" outlineLevel="1">
      <c r="A209" s="143"/>
      <c r="B209" s="144"/>
      <c r="C209" s="145"/>
      <c r="D209" s="146">
        <f>SUM(D205:D207)</f>
        <v>62.45</v>
      </c>
      <c r="E209" s="44"/>
      <c r="F209" s="45"/>
      <c r="G209" s="42"/>
      <c r="H209" s="43"/>
      <c r="I209" s="43"/>
      <c r="J209" s="147"/>
      <c r="K209" s="148"/>
      <c r="L209" s="149"/>
      <c r="M209" s="45"/>
      <c r="N209" s="42"/>
      <c r="O209" s="147"/>
      <c r="P209" s="148"/>
      <c r="Q209" s="150"/>
      <c r="S209" s="152"/>
      <c r="T209" s="153"/>
      <c r="U209" s="153"/>
      <c r="V209" s="153"/>
      <c r="W209" s="154"/>
      <c r="X209" s="155"/>
    </row>
    <row r="210" spans="1:24" s="151" customFormat="1" ht="12.75" hidden="1" outlineLevel="1">
      <c r="A210" s="143"/>
      <c r="B210" s="144"/>
      <c r="C210" s="145"/>
      <c r="D210" s="146"/>
      <c r="E210" s="77"/>
      <c r="F210" s="45"/>
      <c r="G210" s="42"/>
      <c r="H210" s="43"/>
      <c r="I210" s="43"/>
      <c r="J210" s="147"/>
      <c r="K210" s="148">
        <f t="shared" si="16"/>
      </c>
      <c r="L210" s="149"/>
      <c r="M210" s="45"/>
      <c r="N210" s="42"/>
      <c r="O210" s="147"/>
      <c r="P210" s="148">
        <f t="shared" si="17"/>
      </c>
      <c r="Q210" s="150"/>
      <c r="S210" s="152"/>
      <c r="T210" s="153"/>
      <c r="U210" s="153"/>
      <c r="V210" s="153"/>
      <c r="W210" s="154"/>
      <c r="X210" s="155"/>
    </row>
    <row r="211" spans="1:24" s="151" customFormat="1" ht="12.75" hidden="1" outlineLevel="1">
      <c r="A211" s="143"/>
      <c r="B211" s="144"/>
      <c r="C211" s="145"/>
      <c r="D211" s="146"/>
      <c r="E211" s="44" t="s">
        <v>283</v>
      </c>
      <c r="F211" s="45">
        <f>ROUND(F203*0.3,0)</f>
        <v>19</v>
      </c>
      <c r="G211" s="42" t="s">
        <v>215</v>
      </c>
      <c r="H211" s="43"/>
      <c r="I211" s="43"/>
      <c r="J211" s="147">
        <v>76.25</v>
      </c>
      <c r="K211" s="148">
        <f t="shared" si="16"/>
        <v>1448.75</v>
      </c>
      <c r="L211" s="149"/>
      <c r="M211" s="45"/>
      <c r="N211" s="42"/>
      <c r="O211" s="147"/>
      <c r="P211" s="148">
        <f t="shared" si="17"/>
      </c>
      <c r="Q211" s="150"/>
      <c r="S211" s="152"/>
      <c r="T211" s="153"/>
      <c r="U211" s="153"/>
      <c r="V211" s="153"/>
      <c r="W211" s="154"/>
      <c r="X211" s="155"/>
    </row>
    <row r="212" spans="1:24" s="151" customFormat="1" ht="12.75" hidden="1" outlineLevel="1">
      <c r="A212" s="143"/>
      <c r="B212" s="144"/>
      <c r="C212" s="145"/>
      <c r="D212" s="146"/>
      <c r="E212" s="77"/>
      <c r="F212" s="45"/>
      <c r="G212" s="42"/>
      <c r="H212" s="43"/>
      <c r="I212" s="43"/>
      <c r="J212" s="147"/>
      <c r="K212" s="148">
        <f t="shared" si="16"/>
      </c>
      <c r="L212" s="149"/>
      <c r="M212" s="45"/>
      <c r="N212" s="42"/>
      <c r="O212" s="147"/>
      <c r="P212" s="148">
        <f t="shared" si="17"/>
      </c>
      <c r="Q212" s="150"/>
      <c r="S212" s="152"/>
      <c r="T212" s="153"/>
      <c r="U212" s="153"/>
      <c r="V212" s="153"/>
      <c r="W212" s="154"/>
      <c r="X212" s="155"/>
    </row>
    <row r="213" spans="1:24" s="151" customFormat="1" ht="12.75" hidden="1" outlineLevel="1">
      <c r="A213" s="143"/>
      <c r="B213" s="144"/>
      <c r="C213" s="145"/>
      <c r="D213" s="146"/>
      <c r="E213" s="44" t="s">
        <v>284</v>
      </c>
      <c r="F213" s="45">
        <f>+F203</f>
        <v>62</v>
      </c>
      <c r="G213" s="42" t="s">
        <v>35</v>
      </c>
      <c r="H213" s="43"/>
      <c r="I213" s="43"/>
      <c r="J213" s="147">
        <v>14.62</v>
      </c>
      <c r="K213" s="148">
        <f t="shared" si="16"/>
        <v>906.4399999999999</v>
      </c>
      <c r="L213" s="149"/>
      <c r="M213" s="45"/>
      <c r="N213" s="42"/>
      <c r="O213" s="147"/>
      <c r="P213" s="148">
        <f t="shared" si="17"/>
      </c>
      <c r="Q213" s="150"/>
      <c r="S213" s="152"/>
      <c r="T213" s="153"/>
      <c r="U213" s="153"/>
      <c r="V213" s="153"/>
      <c r="W213" s="154"/>
      <c r="X213" s="155"/>
    </row>
    <row r="214" spans="1:24" s="151" customFormat="1" ht="12.75" hidden="1" outlineLevel="1">
      <c r="A214" s="143"/>
      <c r="B214" s="144"/>
      <c r="C214" s="145"/>
      <c r="D214" s="146"/>
      <c r="E214" s="44"/>
      <c r="F214" s="45"/>
      <c r="G214" s="42"/>
      <c r="H214" s="43"/>
      <c r="I214" s="43"/>
      <c r="J214" s="147"/>
      <c r="K214" s="148">
        <f t="shared" si="16"/>
      </c>
      <c r="L214" s="149"/>
      <c r="M214" s="45"/>
      <c r="N214" s="42"/>
      <c r="O214" s="147"/>
      <c r="P214" s="148">
        <f t="shared" si="17"/>
      </c>
      <c r="Q214" s="150"/>
      <c r="S214" s="152"/>
      <c r="T214" s="153"/>
      <c r="U214" s="153"/>
      <c r="V214" s="153"/>
      <c r="W214" s="154"/>
      <c r="X214" s="155"/>
    </row>
    <row r="215" spans="1:24" s="151" customFormat="1" ht="12.75" hidden="1" outlineLevel="1">
      <c r="A215" s="143"/>
      <c r="B215" s="144"/>
      <c r="C215" s="145"/>
      <c r="D215" s="146"/>
      <c r="E215" s="44" t="s">
        <v>285</v>
      </c>
      <c r="F215" s="45">
        <f>+F213</f>
        <v>62</v>
      </c>
      <c r="G215" s="42" t="s">
        <v>35</v>
      </c>
      <c r="H215" s="43"/>
      <c r="I215" s="43"/>
      <c r="J215" s="147">
        <f>12.86/2.3</f>
        <v>5.591304347826087</v>
      </c>
      <c r="K215" s="148">
        <f t="shared" si="16"/>
        <v>346.6608695652174</v>
      </c>
      <c r="L215" s="149"/>
      <c r="M215" s="45"/>
      <c r="N215" s="42"/>
      <c r="O215" s="147"/>
      <c r="P215" s="148">
        <f t="shared" si="17"/>
      </c>
      <c r="Q215" s="150"/>
      <c r="S215" s="152"/>
      <c r="T215" s="153"/>
      <c r="U215" s="153"/>
      <c r="V215" s="153"/>
      <c r="W215" s="154"/>
      <c r="X215" s="155"/>
    </row>
    <row r="216" spans="1:24" s="151" customFormat="1" ht="12.75" hidden="1" outlineLevel="1">
      <c r="A216" s="143"/>
      <c r="B216" s="144"/>
      <c r="C216" s="145"/>
      <c r="D216" s="146"/>
      <c r="E216" s="44"/>
      <c r="F216" s="45"/>
      <c r="G216" s="42"/>
      <c r="H216" s="43"/>
      <c r="I216" s="43"/>
      <c r="J216" s="147"/>
      <c r="K216" s="148">
        <f t="shared" si="16"/>
      </c>
      <c r="L216" s="149"/>
      <c r="M216" s="45"/>
      <c r="N216" s="42"/>
      <c r="O216" s="147"/>
      <c r="P216" s="148">
        <f t="shared" si="17"/>
      </c>
      <c r="Q216" s="150"/>
      <c r="S216" s="152"/>
      <c r="T216" s="153"/>
      <c r="U216" s="153"/>
      <c r="V216" s="153"/>
      <c r="W216" s="154"/>
      <c r="X216" s="155"/>
    </row>
    <row r="217" spans="1:24" s="151" customFormat="1" ht="12.75" hidden="1" outlineLevel="1">
      <c r="A217" s="143"/>
      <c r="B217" s="144"/>
      <c r="C217" s="145"/>
      <c r="D217" s="146"/>
      <c r="E217" s="44" t="s">
        <v>286</v>
      </c>
      <c r="F217" s="45">
        <f>+F215</f>
        <v>62</v>
      </c>
      <c r="G217" s="42" t="s">
        <v>35</v>
      </c>
      <c r="H217" s="43"/>
      <c r="I217" s="43"/>
      <c r="J217" s="147">
        <v>8.54</v>
      </c>
      <c r="K217" s="148">
        <f t="shared" si="16"/>
        <v>529.4799999999999</v>
      </c>
      <c r="L217" s="149"/>
      <c r="M217" s="45"/>
      <c r="N217" s="42"/>
      <c r="O217" s="147"/>
      <c r="P217" s="148">
        <f t="shared" si="17"/>
      </c>
      <c r="Q217" s="150"/>
      <c r="S217" s="152"/>
      <c r="T217" s="153"/>
      <c r="U217" s="153"/>
      <c r="V217" s="153"/>
      <c r="W217" s="154"/>
      <c r="X217" s="155"/>
    </row>
    <row r="218" spans="1:24" s="151" customFormat="1" ht="12.75" hidden="1" outlineLevel="1">
      <c r="A218" s="143"/>
      <c r="B218" s="144"/>
      <c r="C218" s="145"/>
      <c r="D218" s="146"/>
      <c r="E218" s="44"/>
      <c r="F218" s="45"/>
      <c r="G218" s="42"/>
      <c r="H218" s="43"/>
      <c r="I218" s="43"/>
      <c r="J218" s="147"/>
      <c r="K218" s="148">
        <f t="shared" si="16"/>
      </c>
      <c r="L218" s="149"/>
      <c r="M218" s="45"/>
      <c r="N218" s="42"/>
      <c r="O218" s="147"/>
      <c r="P218" s="148">
        <f t="shared" si="17"/>
      </c>
      <c r="Q218" s="150"/>
      <c r="S218" s="152"/>
      <c r="T218" s="153"/>
      <c r="U218" s="153"/>
      <c r="V218" s="153"/>
      <c r="W218" s="154"/>
      <c r="X218" s="155"/>
    </row>
    <row r="219" spans="1:24" s="151" customFormat="1" ht="12.75" hidden="1" outlineLevel="1">
      <c r="A219" s="143"/>
      <c r="B219" s="144"/>
      <c r="C219" s="145"/>
      <c r="D219" s="146"/>
      <c r="E219" s="44" t="s">
        <v>287</v>
      </c>
      <c r="F219" s="45">
        <f>+F217</f>
        <v>62</v>
      </c>
      <c r="G219" s="42" t="s">
        <v>35</v>
      </c>
      <c r="H219" s="43"/>
      <c r="I219" s="43"/>
      <c r="J219" s="147">
        <v>24.29</v>
      </c>
      <c r="K219" s="148">
        <f t="shared" si="16"/>
        <v>1505.98</v>
      </c>
      <c r="L219" s="149"/>
      <c r="M219" s="45"/>
      <c r="N219" s="42"/>
      <c r="O219" s="147"/>
      <c r="P219" s="148">
        <f t="shared" si="17"/>
      </c>
      <c r="Q219" s="150"/>
      <c r="S219" s="152"/>
      <c r="T219" s="153"/>
      <c r="U219" s="153"/>
      <c r="V219" s="153"/>
      <c r="W219" s="154"/>
      <c r="X219" s="155"/>
    </row>
    <row r="220" spans="1:24" s="151" customFormat="1" ht="12.75" hidden="1" outlineLevel="1">
      <c r="A220" s="143"/>
      <c r="B220" s="144"/>
      <c r="C220" s="145"/>
      <c r="D220" s="146"/>
      <c r="E220" s="44"/>
      <c r="F220" s="45"/>
      <c r="G220" s="42"/>
      <c r="H220" s="43"/>
      <c r="I220" s="43"/>
      <c r="J220" s="147"/>
      <c r="K220" s="148">
        <f t="shared" si="16"/>
      </c>
      <c r="L220" s="149"/>
      <c r="M220" s="45"/>
      <c r="N220" s="42"/>
      <c r="O220" s="147"/>
      <c r="P220" s="148">
        <f t="shared" si="17"/>
      </c>
      <c r="Q220" s="150"/>
      <c r="S220" s="152"/>
      <c r="T220" s="153"/>
      <c r="U220" s="153"/>
      <c r="V220" s="153"/>
      <c r="W220" s="154"/>
      <c r="X220" s="155"/>
    </row>
    <row r="221" spans="1:24" s="151" customFormat="1" ht="12.75" hidden="1" outlineLevel="1">
      <c r="A221" s="143"/>
      <c r="B221" s="144"/>
      <c r="C221" s="145"/>
      <c r="D221" s="146"/>
      <c r="E221" s="44" t="s">
        <v>288</v>
      </c>
      <c r="F221" s="45">
        <f>+F219</f>
        <v>62</v>
      </c>
      <c r="G221" s="42" t="s">
        <v>35</v>
      </c>
      <c r="H221" s="43"/>
      <c r="I221" s="43"/>
      <c r="J221" s="147">
        <v>54.52</v>
      </c>
      <c r="K221" s="148">
        <f t="shared" si="16"/>
        <v>3380.2400000000002</v>
      </c>
      <c r="L221" s="149"/>
      <c r="M221" s="45"/>
      <c r="N221" s="42"/>
      <c r="O221" s="147"/>
      <c r="P221" s="148">
        <f t="shared" si="17"/>
      </c>
      <c r="Q221" s="150"/>
      <c r="S221" s="152"/>
      <c r="T221" s="153"/>
      <c r="U221" s="153"/>
      <c r="V221" s="153"/>
      <c r="W221" s="154"/>
      <c r="X221" s="155"/>
    </row>
    <row r="222" spans="1:24" s="151" customFormat="1" ht="12.75" hidden="1" outlineLevel="1">
      <c r="A222" s="143"/>
      <c r="B222" s="144"/>
      <c r="C222" s="145"/>
      <c r="D222" s="146"/>
      <c r="E222" s="44"/>
      <c r="F222" s="45"/>
      <c r="G222" s="42"/>
      <c r="H222" s="43"/>
      <c r="I222" s="43"/>
      <c r="J222" s="147"/>
      <c r="K222" s="148"/>
      <c r="L222" s="149"/>
      <c r="M222" s="45"/>
      <c r="N222" s="42"/>
      <c r="O222" s="147"/>
      <c r="P222" s="148"/>
      <c r="Q222" s="150"/>
      <c r="S222" s="152"/>
      <c r="T222" s="153"/>
      <c r="U222" s="153"/>
      <c r="V222" s="153"/>
      <c r="W222" s="154"/>
      <c r="X222" s="155"/>
    </row>
    <row r="223" spans="1:24" s="151" customFormat="1" ht="12.75" hidden="1" outlineLevel="1">
      <c r="A223" s="143"/>
      <c r="B223" s="144"/>
      <c r="C223" s="145"/>
      <c r="D223" s="146"/>
      <c r="E223" s="38" t="s">
        <v>362</v>
      </c>
      <c r="F223" s="33">
        <v>10</v>
      </c>
      <c r="G223" s="34" t="s">
        <v>363</v>
      </c>
      <c r="H223" s="39"/>
      <c r="I223" s="39"/>
      <c r="J223" s="36">
        <f>SUM(K203:K221)</f>
        <v>9320.350869565218</v>
      </c>
      <c r="K223" s="37">
        <f>+J223*F223%</f>
        <v>932.0350869565218</v>
      </c>
      <c r="L223" s="149"/>
      <c r="M223" s="45"/>
      <c r="N223" s="42"/>
      <c r="O223" s="147"/>
      <c r="P223" s="148"/>
      <c r="Q223" s="150"/>
      <c r="S223" s="152"/>
      <c r="T223" s="153"/>
      <c r="U223" s="153"/>
      <c r="V223" s="153"/>
      <c r="W223" s="154"/>
      <c r="X223" s="155"/>
    </row>
    <row r="224" spans="1:24" s="151" customFormat="1" ht="12.75" hidden="1" outlineLevel="1">
      <c r="A224" s="143"/>
      <c r="B224" s="144"/>
      <c r="C224" s="145"/>
      <c r="D224" s="146"/>
      <c r="E224" s="77"/>
      <c r="F224" s="45"/>
      <c r="G224" s="42"/>
      <c r="H224" s="43"/>
      <c r="I224" s="43"/>
      <c r="J224" s="147"/>
      <c r="K224" s="148"/>
      <c r="L224" s="149"/>
      <c r="M224" s="45"/>
      <c r="N224" s="42"/>
      <c r="O224" s="147"/>
      <c r="P224" s="148"/>
      <c r="Q224" s="150"/>
      <c r="S224" s="152"/>
      <c r="T224" s="153"/>
      <c r="U224" s="153"/>
      <c r="V224" s="153"/>
      <c r="W224" s="154"/>
      <c r="X224" s="155"/>
    </row>
    <row r="225" spans="1:24" s="151" customFormat="1" ht="12.75" collapsed="1">
      <c r="A225" s="143"/>
      <c r="B225" s="144"/>
      <c r="C225" s="145"/>
      <c r="D225" s="146"/>
      <c r="E225" s="77"/>
      <c r="F225" s="45"/>
      <c r="G225" s="42"/>
      <c r="H225" s="43"/>
      <c r="I225" s="43"/>
      <c r="J225" s="147"/>
      <c r="K225" s="148"/>
      <c r="L225" s="149"/>
      <c r="M225" s="45"/>
      <c r="N225" s="42"/>
      <c r="O225" s="147"/>
      <c r="P225" s="148"/>
      <c r="Q225" s="150"/>
      <c r="S225" s="152"/>
      <c r="T225" s="153"/>
      <c r="U225" s="153"/>
      <c r="V225" s="153"/>
      <c r="W225" s="154"/>
      <c r="X225" s="155"/>
    </row>
    <row r="226" spans="1:24" s="151" customFormat="1" ht="12.75">
      <c r="A226" s="143"/>
      <c r="B226" s="144"/>
      <c r="C226" s="145"/>
      <c r="D226" s="146"/>
      <c r="E226" s="77"/>
      <c r="F226" s="45"/>
      <c r="G226" s="42"/>
      <c r="H226" s="43"/>
      <c r="I226" s="43"/>
      <c r="J226" s="147"/>
      <c r="K226" s="148"/>
      <c r="L226" s="149"/>
      <c r="M226" s="45"/>
      <c r="N226" s="42"/>
      <c r="O226" s="147"/>
      <c r="P226" s="148"/>
      <c r="Q226" s="150"/>
      <c r="S226" s="152"/>
      <c r="T226" s="153"/>
      <c r="U226" s="153"/>
      <c r="V226" s="153"/>
      <c r="W226" s="154"/>
      <c r="X226" s="155"/>
    </row>
    <row r="227" spans="1:24" ht="12.75">
      <c r="A227" s="60"/>
      <c r="B227" s="61"/>
      <c r="C227" s="62"/>
      <c r="D227" s="65"/>
      <c r="E227" s="44"/>
      <c r="F227" s="33"/>
      <c r="G227" s="42"/>
      <c r="H227" s="43"/>
      <c r="I227" s="43"/>
      <c r="J227" s="36"/>
      <c r="K227" s="37">
        <f>+IF(F227="item",J227,IF(F227&lt;&gt;0,F227*J227,""))</f>
      </c>
      <c r="L227" s="31"/>
      <c r="M227" s="33"/>
      <c r="N227" s="42"/>
      <c r="O227" s="36"/>
      <c r="P227" s="37"/>
      <c r="Q227" s="54"/>
      <c r="S227" s="110"/>
      <c r="T227" s="12"/>
      <c r="U227" s="12"/>
      <c r="V227" s="12"/>
      <c r="W227" s="19"/>
      <c r="X227" s="116"/>
    </row>
    <row r="228" spans="1:24" ht="25.5">
      <c r="A228" s="60"/>
      <c r="B228" s="61"/>
      <c r="C228" s="64"/>
      <c r="D228" s="63"/>
      <c r="E228" s="142" t="s">
        <v>140</v>
      </c>
      <c r="F228" s="72"/>
      <c r="G228" s="73"/>
      <c r="H228" s="140"/>
      <c r="I228" s="140"/>
      <c r="J228" s="74">
        <f>IF(+I228+H228&gt;0,I228+(H228*labour),"")</f>
      </c>
      <c r="K228" s="75">
        <f>+IF(F228="item",J228,IF(F228&lt;&gt;0,F228*J228,""))</f>
      </c>
      <c r="L228" s="141" t="s">
        <v>322</v>
      </c>
      <c r="M228" s="72"/>
      <c r="N228" s="73"/>
      <c r="O228" s="74"/>
      <c r="P228" s="75">
        <f>+IF(M228="item",O228,IF(M228&lt;&gt;0,M228*O228,""))</f>
      </c>
      <c r="Q228" s="76"/>
      <c r="S228" s="110"/>
      <c r="T228" s="12"/>
      <c r="U228" s="12"/>
      <c r="V228" s="12"/>
      <c r="W228" s="19"/>
      <c r="X228" s="116" t="s">
        <v>265</v>
      </c>
    </row>
    <row r="229" spans="1:24" ht="12.75">
      <c r="A229" s="60"/>
      <c r="B229" s="61"/>
      <c r="C229" s="62"/>
      <c r="D229" s="65"/>
      <c r="E229" s="77"/>
      <c r="F229" s="33"/>
      <c r="G229" s="42"/>
      <c r="H229" s="43"/>
      <c r="I229" s="43"/>
      <c r="J229" s="36"/>
      <c r="K229" s="37">
        <f>+IF(F229="item",J229,IF(F229&lt;&gt;0,F229*J229,""))</f>
      </c>
      <c r="L229" s="31"/>
      <c r="M229" s="33"/>
      <c r="N229" s="42"/>
      <c r="O229" s="36"/>
      <c r="P229" s="37"/>
      <c r="Q229" s="54"/>
      <c r="S229" s="110"/>
      <c r="T229" s="12"/>
      <c r="U229" s="12"/>
      <c r="V229" s="12"/>
      <c r="W229" s="19"/>
      <c r="X229" s="111"/>
    </row>
    <row r="230" spans="1:24" ht="25.5">
      <c r="A230" s="60"/>
      <c r="B230" s="61"/>
      <c r="C230" s="62"/>
      <c r="D230" s="65"/>
      <c r="E230" s="77" t="s">
        <v>142</v>
      </c>
      <c r="F230" s="33"/>
      <c r="G230" s="42"/>
      <c r="H230" s="43"/>
      <c r="I230" s="43"/>
      <c r="J230" s="36"/>
      <c r="K230" s="53">
        <f>SUM(K232:K292)</f>
        <v>40450.3</v>
      </c>
      <c r="L230" s="31"/>
      <c r="M230" s="72"/>
      <c r="N230" s="73"/>
      <c r="O230" s="74"/>
      <c r="P230" s="75">
        <f>+IF(M230="item",O230,IF(M230&lt;&gt;0,M230*O230,""))</f>
      </c>
      <c r="Q230" s="76"/>
      <c r="S230" s="110"/>
      <c r="T230" s="12"/>
      <c r="U230" s="12"/>
      <c r="V230" s="12"/>
      <c r="W230" s="19"/>
      <c r="X230" s="111"/>
    </row>
    <row r="231" spans="1:24" ht="12.75">
      <c r="A231" s="60"/>
      <c r="B231" s="61"/>
      <c r="C231" s="62"/>
      <c r="D231" s="65"/>
      <c r="E231" s="77"/>
      <c r="F231" s="33"/>
      <c r="G231" s="42"/>
      <c r="H231" s="43"/>
      <c r="I231" s="43"/>
      <c r="J231" s="36"/>
      <c r="K231" s="37">
        <f aca="true" t="shared" si="18" ref="K231:K259">+IF(F231="item",J231,IF(F231&lt;&gt;0,F231*J231,""))</f>
      </c>
      <c r="L231" s="31"/>
      <c r="M231" s="72"/>
      <c r="N231" s="73"/>
      <c r="O231" s="74"/>
      <c r="P231" s="75">
        <f>+IF(M231="item",O231,IF(M231&lt;&gt;0,M231*O231,""))</f>
      </c>
      <c r="Q231" s="76"/>
      <c r="S231" s="110"/>
      <c r="T231" s="12"/>
      <c r="U231" s="12"/>
      <c r="V231" s="12"/>
      <c r="W231" s="19"/>
      <c r="X231" s="111"/>
    </row>
    <row r="232" spans="1:24" ht="51" hidden="1" outlineLevel="1">
      <c r="A232" s="60"/>
      <c r="B232" s="61"/>
      <c r="C232" s="62"/>
      <c r="D232" s="65"/>
      <c r="E232" s="44" t="s">
        <v>330</v>
      </c>
      <c r="F232" s="33">
        <f>ROUND(D261,0)</f>
        <v>172</v>
      </c>
      <c r="G232" s="42" t="s">
        <v>35</v>
      </c>
      <c r="H232" s="43"/>
      <c r="I232" s="43"/>
      <c r="J232" s="36">
        <f>pavadentro</f>
        <v>150</v>
      </c>
      <c r="K232" s="37">
        <f t="shared" si="18"/>
        <v>25800</v>
      </c>
      <c r="L232" s="31" t="s">
        <v>325</v>
      </c>
      <c r="M232" s="72"/>
      <c r="N232" s="73"/>
      <c r="O232" s="74"/>
      <c r="P232" s="75">
        <f>+IF(M232="item",O232,IF(M232&lt;&gt;0,M232*O232,""))</f>
      </c>
      <c r="Q232" s="76"/>
      <c r="S232" s="110"/>
      <c r="T232" s="12"/>
      <c r="U232" s="12"/>
      <c r="V232" s="12"/>
      <c r="W232" s="19"/>
      <c r="X232" s="111"/>
    </row>
    <row r="233" spans="1:24" ht="12.75" hidden="1" outlineLevel="1">
      <c r="A233" s="60"/>
      <c r="B233" s="61"/>
      <c r="C233" s="62">
        <v>13.7</v>
      </c>
      <c r="D233" s="63"/>
      <c r="E233" s="77"/>
      <c r="F233" s="33"/>
      <c r="G233" s="42"/>
      <c r="H233" s="43"/>
      <c r="I233" s="43"/>
      <c r="J233" s="36"/>
      <c r="K233" s="37">
        <f t="shared" si="18"/>
      </c>
      <c r="L233" s="31"/>
      <c r="M233" s="72"/>
      <c r="N233" s="73"/>
      <c r="O233" s="74"/>
      <c r="P233" s="75">
        <f>+IF(M233="item",O233,IF(M233&lt;&gt;0,M233*O233,""))</f>
      </c>
      <c r="Q233" s="76"/>
      <c r="S233" s="110"/>
      <c r="T233" s="12"/>
      <c r="U233" s="12"/>
      <c r="V233" s="12"/>
      <c r="W233" s="19"/>
      <c r="X233" s="111"/>
    </row>
    <row r="234" spans="1:24" ht="12.75" hidden="1" outlineLevel="1">
      <c r="A234" s="60"/>
      <c r="B234" s="61"/>
      <c r="C234" s="135">
        <v>4</v>
      </c>
      <c r="D234" s="63">
        <f>+C233*C234</f>
        <v>54.8</v>
      </c>
      <c r="E234" s="77"/>
      <c r="F234" s="33"/>
      <c r="G234" s="42"/>
      <c r="H234" s="43"/>
      <c r="I234" s="43"/>
      <c r="J234" s="36"/>
      <c r="K234" s="37">
        <f t="shared" si="18"/>
      </c>
      <c r="L234" s="31"/>
      <c r="M234" s="72"/>
      <c r="N234" s="73"/>
      <c r="O234" s="74"/>
      <c r="P234" s="75">
        <f>+IF(M234="item",O234,IF(M234&lt;&gt;0,M234*O234,""))</f>
      </c>
      <c r="Q234" s="76"/>
      <c r="S234" s="110"/>
      <c r="T234" s="12"/>
      <c r="U234" s="12"/>
      <c r="V234" s="12"/>
      <c r="W234" s="19"/>
      <c r="X234" s="111"/>
    </row>
    <row r="235" spans="1:24" ht="12.75" hidden="1" outlineLevel="1">
      <c r="A235" s="60"/>
      <c r="B235" s="61">
        <v>2</v>
      </c>
      <c r="C235" s="62">
        <v>6</v>
      </c>
      <c r="D235" s="63"/>
      <c r="E235" s="77"/>
      <c r="F235" s="33"/>
      <c r="G235" s="42"/>
      <c r="H235" s="43"/>
      <c r="I235" s="43"/>
      <c r="J235" s="36"/>
      <c r="K235" s="37"/>
      <c r="L235" s="31"/>
      <c r="M235" s="72"/>
      <c r="N235" s="73"/>
      <c r="O235" s="74"/>
      <c r="P235" s="75"/>
      <c r="Q235" s="76"/>
      <c r="S235" s="110"/>
      <c r="T235" s="12"/>
      <c r="U235" s="12"/>
      <c r="V235" s="12"/>
      <c r="W235" s="19"/>
      <c r="X235" s="111"/>
    </row>
    <row r="236" spans="1:24" ht="12.75" hidden="1" outlineLevel="1">
      <c r="A236" s="60"/>
      <c r="B236" s="61"/>
      <c r="C236" s="135">
        <v>4</v>
      </c>
      <c r="D236" s="63">
        <f>+C235*C236*B235</f>
        <v>48</v>
      </c>
      <c r="E236" s="77"/>
      <c r="F236" s="33"/>
      <c r="G236" s="42"/>
      <c r="H236" s="43"/>
      <c r="I236" s="43"/>
      <c r="J236" s="36"/>
      <c r="K236" s="37"/>
      <c r="L236" s="31"/>
      <c r="M236" s="72"/>
      <c r="N236" s="73"/>
      <c r="O236" s="74"/>
      <c r="P236" s="75"/>
      <c r="Q236" s="76"/>
      <c r="S236" s="110"/>
      <c r="T236" s="12"/>
      <c r="U236" s="12"/>
      <c r="V236" s="12"/>
      <c r="W236" s="19"/>
      <c r="X236" s="111"/>
    </row>
    <row r="237" spans="1:24" ht="12.75" hidden="1" outlineLevel="1">
      <c r="A237" s="60">
        <v>2</v>
      </c>
      <c r="B237" s="66">
        <v>0.5</v>
      </c>
      <c r="C237" s="62">
        <v>6</v>
      </c>
      <c r="D237" s="63"/>
      <c r="E237" s="77"/>
      <c r="F237" s="33"/>
      <c r="G237" s="42"/>
      <c r="H237" s="43"/>
      <c r="I237" s="43"/>
      <c r="J237" s="36"/>
      <c r="K237" s="37"/>
      <c r="L237" s="31"/>
      <c r="M237" s="72"/>
      <c r="N237" s="73"/>
      <c r="O237" s="74"/>
      <c r="P237" s="75"/>
      <c r="Q237" s="76"/>
      <c r="S237" s="110"/>
      <c r="T237" s="12"/>
      <c r="U237" s="12"/>
      <c r="V237" s="12"/>
      <c r="W237" s="19"/>
      <c r="X237" s="111"/>
    </row>
    <row r="238" spans="1:24" ht="12.75" hidden="1" outlineLevel="1">
      <c r="A238" s="60"/>
      <c r="B238" s="61"/>
      <c r="C238" s="135">
        <v>3.5</v>
      </c>
      <c r="D238" s="63">
        <f>+C238*C237*B237*A237</f>
        <v>21</v>
      </c>
      <c r="E238" s="77"/>
      <c r="F238" s="33"/>
      <c r="G238" s="42"/>
      <c r="H238" s="43"/>
      <c r="I238" s="43"/>
      <c r="J238" s="36"/>
      <c r="K238" s="37"/>
      <c r="L238" s="31"/>
      <c r="M238" s="72"/>
      <c r="N238" s="73"/>
      <c r="O238" s="74"/>
      <c r="P238" s="75"/>
      <c r="Q238" s="76"/>
      <c r="S238" s="110"/>
      <c r="T238" s="12"/>
      <c r="U238" s="12"/>
      <c r="V238" s="12"/>
      <c r="W238" s="19"/>
      <c r="X238" s="111"/>
    </row>
    <row r="239" spans="1:24" ht="12.75" hidden="1" outlineLevel="1">
      <c r="A239" s="60"/>
      <c r="B239" s="61"/>
      <c r="C239" s="62">
        <v>13.7</v>
      </c>
      <c r="D239" s="63"/>
      <c r="E239" s="77"/>
      <c r="F239" s="33"/>
      <c r="G239" s="42"/>
      <c r="H239" s="43"/>
      <c r="I239" s="43"/>
      <c r="J239" s="36"/>
      <c r="K239" s="37"/>
      <c r="L239" s="31"/>
      <c r="M239" s="72"/>
      <c r="N239" s="73"/>
      <c r="O239" s="74"/>
      <c r="P239" s="75"/>
      <c r="Q239" s="76"/>
      <c r="S239" s="110"/>
      <c r="T239" s="12"/>
      <c r="U239" s="12"/>
      <c r="V239" s="12"/>
      <c r="W239" s="19"/>
      <c r="X239" s="111"/>
    </row>
    <row r="240" spans="1:24" ht="12.75" hidden="1" outlineLevel="1">
      <c r="A240" s="60"/>
      <c r="B240" s="61"/>
      <c r="C240" s="135">
        <v>2.7</v>
      </c>
      <c r="D240" s="63">
        <f>+C239*C240</f>
        <v>36.99</v>
      </c>
      <c r="E240" s="77"/>
      <c r="F240" s="33"/>
      <c r="G240" s="42"/>
      <c r="H240" s="43"/>
      <c r="I240" s="43"/>
      <c r="J240" s="36"/>
      <c r="K240" s="37"/>
      <c r="L240" s="31"/>
      <c r="M240" s="72"/>
      <c r="N240" s="73"/>
      <c r="O240" s="74"/>
      <c r="P240" s="75"/>
      <c r="Q240" s="76"/>
      <c r="S240" s="110"/>
      <c r="T240" s="12"/>
      <c r="U240" s="12"/>
      <c r="V240" s="12"/>
      <c r="W240" s="19"/>
      <c r="X240" s="111"/>
    </row>
    <row r="241" spans="1:24" ht="12.75" hidden="1" outlineLevel="1">
      <c r="A241" s="60"/>
      <c r="B241" s="61">
        <v>2</v>
      </c>
      <c r="C241" s="62">
        <v>2.5</v>
      </c>
      <c r="D241" s="63"/>
      <c r="E241" s="77"/>
      <c r="F241" s="33"/>
      <c r="G241" s="42"/>
      <c r="H241" s="43"/>
      <c r="I241" s="43"/>
      <c r="J241" s="36"/>
      <c r="K241" s="37"/>
      <c r="L241" s="31"/>
      <c r="M241" s="72"/>
      <c r="N241" s="73"/>
      <c r="O241" s="74"/>
      <c r="P241" s="75"/>
      <c r="Q241" s="76"/>
      <c r="S241" s="110"/>
      <c r="T241" s="12"/>
      <c r="U241" s="12"/>
      <c r="V241" s="12"/>
      <c r="W241" s="19"/>
      <c r="X241" s="111"/>
    </row>
    <row r="242" spans="1:24" ht="12.75" hidden="1" outlineLevel="1">
      <c r="A242" s="60"/>
      <c r="B242" s="61"/>
      <c r="C242" s="135">
        <v>2.7</v>
      </c>
      <c r="D242" s="63">
        <f>+C241*C242*B241</f>
        <v>13.5</v>
      </c>
      <c r="E242" s="77"/>
      <c r="F242" s="33"/>
      <c r="G242" s="42"/>
      <c r="H242" s="43"/>
      <c r="I242" s="43"/>
      <c r="J242" s="36"/>
      <c r="K242" s="37"/>
      <c r="L242" s="31"/>
      <c r="M242" s="72"/>
      <c r="N242" s="73"/>
      <c r="O242" s="74"/>
      <c r="P242" s="75"/>
      <c r="Q242" s="76"/>
      <c r="S242" s="110"/>
      <c r="T242" s="12"/>
      <c r="U242" s="12"/>
      <c r="V242" s="12"/>
      <c r="W242" s="19"/>
      <c r="X242" s="111"/>
    </row>
    <row r="243" spans="1:24" ht="12.75" hidden="1" outlineLevel="1">
      <c r="A243" s="60"/>
      <c r="B243" s="61"/>
      <c r="C243" s="62">
        <v>4.2</v>
      </c>
      <c r="D243" s="63"/>
      <c r="E243" s="77"/>
      <c r="F243" s="33"/>
      <c r="G243" s="42"/>
      <c r="H243" s="43"/>
      <c r="I243" s="43"/>
      <c r="J243" s="36"/>
      <c r="K243" s="37"/>
      <c r="L243" s="31"/>
      <c r="M243" s="72"/>
      <c r="N243" s="73"/>
      <c r="O243" s="74"/>
      <c r="P243" s="75"/>
      <c r="Q243" s="76"/>
      <c r="S243" s="110"/>
      <c r="T243" s="12"/>
      <c r="U243" s="12"/>
      <c r="V243" s="12"/>
      <c r="W243" s="19"/>
      <c r="X243" s="111"/>
    </row>
    <row r="244" spans="1:24" ht="12.75" hidden="1" outlineLevel="1">
      <c r="A244" s="60"/>
      <c r="B244" s="61"/>
      <c r="C244" s="135">
        <v>0.7</v>
      </c>
      <c r="D244" s="63">
        <f>+C243*C244</f>
        <v>2.94</v>
      </c>
      <c r="E244" s="77"/>
      <c r="F244" s="33"/>
      <c r="G244" s="42"/>
      <c r="H244" s="43"/>
      <c r="I244" s="43"/>
      <c r="J244" s="36"/>
      <c r="K244" s="37"/>
      <c r="L244" s="31"/>
      <c r="M244" s="72"/>
      <c r="N244" s="73"/>
      <c r="O244" s="74"/>
      <c r="P244" s="75"/>
      <c r="Q244" s="76"/>
      <c r="S244" s="110"/>
      <c r="T244" s="12"/>
      <c r="U244" s="12"/>
      <c r="V244" s="12"/>
      <c r="W244" s="19"/>
      <c r="X244" s="111"/>
    </row>
    <row r="245" spans="1:24" ht="12.75" hidden="1" outlineLevel="1">
      <c r="A245" s="60"/>
      <c r="B245" s="61"/>
      <c r="C245" s="62">
        <v>4.2</v>
      </c>
      <c r="D245" s="63"/>
      <c r="E245" s="77"/>
      <c r="F245" s="33"/>
      <c r="G245" s="42"/>
      <c r="H245" s="43"/>
      <c r="I245" s="43"/>
      <c r="J245" s="36"/>
      <c r="K245" s="37"/>
      <c r="L245" s="31"/>
      <c r="M245" s="72"/>
      <c r="N245" s="73"/>
      <c r="O245" s="74"/>
      <c r="P245" s="75"/>
      <c r="Q245" s="76"/>
      <c r="S245" s="110"/>
      <c r="T245" s="12"/>
      <c r="U245" s="12"/>
      <c r="V245" s="12"/>
      <c r="W245" s="19"/>
      <c r="X245" s="111"/>
    </row>
    <row r="246" spans="1:24" ht="12.75" hidden="1" outlineLevel="1">
      <c r="A246" s="60"/>
      <c r="B246" s="61"/>
      <c r="C246" s="135">
        <v>2.4</v>
      </c>
      <c r="D246" s="63">
        <f>+C245*C246</f>
        <v>10.08</v>
      </c>
      <c r="E246" s="77"/>
      <c r="F246" s="33"/>
      <c r="G246" s="42"/>
      <c r="H246" s="43"/>
      <c r="I246" s="43"/>
      <c r="J246" s="36"/>
      <c r="K246" s="37"/>
      <c r="L246" s="31"/>
      <c r="M246" s="72"/>
      <c r="N246" s="73"/>
      <c r="O246" s="74"/>
      <c r="P246" s="75"/>
      <c r="Q246" s="76"/>
      <c r="S246" s="110"/>
      <c r="T246" s="12"/>
      <c r="U246" s="12"/>
      <c r="V246" s="12"/>
      <c r="W246" s="19"/>
      <c r="X246" s="111"/>
    </row>
    <row r="247" spans="1:24" ht="12.75" hidden="1" outlineLevel="1">
      <c r="A247" s="60"/>
      <c r="B247" s="61"/>
      <c r="C247" s="62"/>
      <c r="D247" s="63"/>
      <c r="E247" s="77"/>
      <c r="F247" s="33"/>
      <c r="G247" s="42"/>
      <c r="H247" s="43"/>
      <c r="I247" s="43"/>
      <c r="J247" s="36"/>
      <c r="K247" s="37"/>
      <c r="L247" s="31"/>
      <c r="M247" s="72"/>
      <c r="N247" s="73"/>
      <c r="O247" s="74"/>
      <c r="P247" s="75"/>
      <c r="Q247" s="76"/>
      <c r="S247" s="110"/>
      <c r="T247" s="12"/>
      <c r="U247" s="12"/>
      <c r="V247" s="12"/>
      <c r="W247" s="19"/>
      <c r="X247" s="111"/>
    </row>
    <row r="248" spans="1:24" ht="12.75" hidden="1" outlineLevel="1">
      <c r="A248" s="60"/>
      <c r="B248" s="61">
        <v>-1</v>
      </c>
      <c r="C248" s="62">
        <v>1.8</v>
      </c>
      <c r="D248" s="63"/>
      <c r="E248" s="77"/>
      <c r="F248" s="33"/>
      <c r="G248" s="42"/>
      <c r="H248" s="43"/>
      <c r="I248" s="43"/>
      <c r="J248" s="36"/>
      <c r="K248" s="37">
        <f t="shared" si="18"/>
      </c>
      <c r="L248" s="31"/>
      <c r="M248" s="72"/>
      <c r="N248" s="73"/>
      <c r="O248" s="74"/>
      <c r="P248" s="75">
        <f>+IF(M248="item",O248,IF(M248&lt;&gt;0,M248*O248,""))</f>
      </c>
      <c r="Q248" s="76"/>
      <c r="S248" s="110"/>
      <c r="T248" s="12"/>
      <c r="U248" s="12"/>
      <c r="V248" s="12"/>
      <c r="W248" s="19"/>
      <c r="X248" s="111"/>
    </row>
    <row r="249" spans="1:24" ht="12.75" hidden="1" outlineLevel="1">
      <c r="A249" s="60"/>
      <c r="B249" s="61"/>
      <c r="C249" s="135">
        <v>1.5</v>
      </c>
      <c r="D249" s="63">
        <f>+C249*C248*B248</f>
        <v>-2.7</v>
      </c>
      <c r="E249" s="77"/>
      <c r="F249" s="33"/>
      <c r="G249" s="42"/>
      <c r="H249" s="43"/>
      <c r="I249" s="43"/>
      <c r="J249" s="36"/>
      <c r="K249" s="37">
        <f t="shared" si="18"/>
      </c>
      <c r="L249" s="31"/>
      <c r="M249" s="72"/>
      <c r="N249" s="73"/>
      <c r="O249" s="74"/>
      <c r="P249" s="75">
        <f>+IF(M249="item",O249,IF(M249&lt;&gt;0,M249*O249,""))</f>
      </c>
      <c r="Q249" s="76"/>
      <c r="S249" s="110"/>
      <c r="T249" s="12"/>
      <c r="U249" s="12"/>
      <c r="V249" s="12"/>
      <c r="W249" s="19"/>
      <c r="X249" s="111"/>
    </row>
    <row r="250" spans="1:24" ht="12.75" hidden="1" outlineLevel="1">
      <c r="A250" s="60"/>
      <c r="B250" s="61">
        <v>-4</v>
      </c>
      <c r="C250" s="62">
        <v>1.2</v>
      </c>
      <c r="D250" s="63"/>
      <c r="E250" s="77"/>
      <c r="F250" s="33"/>
      <c r="G250" s="42"/>
      <c r="H250" s="43"/>
      <c r="I250" s="43"/>
      <c r="J250" s="36"/>
      <c r="K250" s="37">
        <f t="shared" si="18"/>
      </c>
      <c r="L250" s="31"/>
      <c r="M250" s="72"/>
      <c r="N250" s="73"/>
      <c r="O250" s="74"/>
      <c r="P250" s="75">
        <f>+IF(M250="item",O250,IF(M250&lt;&gt;0,M250*O250,""))</f>
      </c>
      <c r="Q250" s="76"/>
      <c r="S250" s="110"/>
      <c r="T250" s="12"/>
      <c r="U250" s="12"/>
      <c r="V250" s="12"/>
      <c r="W250" s="19"/>
      <c r="X250" s="111"/>
    </row>
    <row r="251" spans="1:24" ht="12.75" hidden="1" outlineLevel="1">
      <c r="A251" s="60"/>
      <c r="B251" s="61"/>
      <c r="C251" s="135">
        <v>1.5</v>
      </c>
      <c r="D251" s="63">
        <f>+C251*C250*B250</f>
        <v>-7.199999999999999</v>
      </c>
      <c r="E251" s="77"/>
      <c r="F251" s="33"/>
      <c r="G251" s="42"/>
      <c r="H251" s="43"/>
      <c r="I251" s="43"/>
      <c r="J251" s="36"/>
      <c r="K251" s="37">
        <f t="shared" si="18"/>
      </c>
      <c r="L251" s="31"/>
      <c r="M251" s="72"/>
      <c r="N251" s="73"/>
      <c r="O251" s="74"/>
      <c r="P251" s="75">
        <f>+IF(M251="item",O251,IF(M251&lt;&gt;0,M251*O251,""))</f>
      </c>
      <c r="Q251" s="76"/>
      <c r="S251" s="110"/>
      <c r="T251" s="12"/>
      <c r="U251" s="12"/>
      <c r="V251" s="12"/>
      <c r="W251" s="19"/>
      <c r="X251" s="111"/>
    </row>
    <row r="252" spans="1:24" ht="12.75" hidden="1" outlineLevel="1">
      <c r="A252" s="60"/>
      <c r="B252" s="61">
        <v>-1</v>
      </c>
      <c r="C252" s="62">
        <v>0.9</v>
      </c>
      <c r="D252" s="63"/>
      <c r="E252" s="77"/>
      <c r="F252" s="33"/>
      <c r="G252" s="42"/>
      <c r="H252" s="43"/>
      <c r="I252" s="43"/>
      <c r="J252" s="36"/>
      <c r="K252" s="37">
        <f t="shared" si="18"/>
      </c>
      <c r="L252" s="31"/>
      <c r="M252" s="72"/>
      <c r="N252" s="73"/>
      <c r="O252" s="74"/>
      <c r="P252" s="75"/>
      <c r="Q252" s="76"/>
      <c r="S252" s="110"/>
      <c r="T252" s="12"/>
      <c r="U252" s="12"/>
      <c r="V252" s="12"/>
      <c r="W252" s="19"/>
      <c r="X252" s="111"/>
    </row>
    <row r="253" spans="1:24" ht="12.75" hidden="1" outlineLevel="1">
      <c r="A253" s="60"/>
      <c r="B253" s="61"/>
      <c r="C253" s="135">
        <v>0.9</v>
      </c>
      <c r="D253" s="63">
        <f>+C253*C252*B252</f>
        <v>-0.81</v>
      </c>
      <c r="E253" s="77"/>
      <c r="F253" s="33"/>
      <c r="G253" s="42"/>
      <c r="H253" s="43"/>
      <c r="I253" s="43"/>
      <c r="J253" s="36"/>
      <c r="K253" s="37">
        <f t="shared" si="18"/>
      </c>
      <c r="L253" s="31"/>
      <c r="M253" s="72"/>
      <c r="N253" s="73"/>
      <c r="O253" s="74"/>
      <c r="P253" s="75"/>
      <c r="Q253" s="76"/>
      <c r="S253" s="110"/>
      <c r="T253" s="12"/>
      <c r="U253" s="12"/>
      <c r="V253" s="12"/>
      <c r="W253" s="19"/>
      <c r="X253" s="111"/>
    </row>
    <row r="254" spans="1:24" ht="12.75" hidden="1" outlineLevel="1">
      <c r="A254" s="60"/>
      <c r="B254" s="61">
        <v>-1</v>
      </c>
      <c r="C254" s="62">
        <v>0.5</v>
      </c>
      <c r="D254" s="63"/>
      <c r="E254" s="77"/>
      <c r="F254" s="33"/>
      <c r="G254" s="42"/>
      <c r="H254" s="43"/>
      <c r="I254" s="43"/>
      <c r="J254" s="36"/>
      <c r="K254" s="37">
        <f t="shared" si="18"/>
      </c>
      <c r="L254" s="31"/>
      <c r="M254" s="72"/>
      <c r="N254" s="73"/>
      <c r="O254" s="74"/>
      <c r="P254" s="75">
        <f>+IF(M254="item",O254,IF(M254&lt;&gt;0,M254*O254,""))</f>
      </c>
      <c r="Q254" s="76"/>
      <c r="S254" s="110"/>
      <c r="T254" s="12"/>
      <c r="U254" s="12"/>
      <c r="V254" s="12"/>
      <c r="W254" s="19"/>
      <c r="X254" s="111"/>
    </row>
    <row r="255" spans="1:24" ht="12.75" hidden="1" outlineLevel="1">
      <c r="A255" s="60"/>
      <c r="B255" s="61"/>
      <c r="C255" s="135">
        <v>0.9</v>
      </c>
      <c r="D255" s="63">
        <f>+C255*C254*B254</f>
        <v>-0.45</v>
      </c>
      <c r="E255" s="77"/>
      <c r="F255" s="33"/>
      <c r="G255" s="42"/>
      <c r="H255" s="43"/>
      <c r="I255" s="43"/>
      <c r="J255" s="36"/>
      <c r="K255" s="37">
        <f t="shared" si="18"/>
      </c>
      <c r="L255" s="31"/>
      <c r="M255" s="72"/>
      <c r="N255" s="73"/>
      <c r="O255" s="74"/>
      <c r="P255" s="75">
        <f>+IF(M255="item",O255,IF(M255&lt;&gt;0,M255*O255,""))</f>
      </c>
      <c r="Q255" s="76"/>
      <c r="S255" s="110"/>
      <c r="T255" s="12"/>
      <c r="U255" s="12"/>
      <c r="V255" s="12"/>
      <c r="W255" s="19"/>
      <c r="X255" s="111"/>
    </row>
    <row r="256" spans="1:24" ht="12.75" hidden="1" outlineLevel="1">
      <c r="A256" s="60"/>
      <c r="B256" s="61">
        <v>-1</v>
      </c>
      <c r="C256" s="62">
        <v>0.6</v>
      </c>
      <c r="D256" s="63"/>
      <c r="E256" s="77"/>
      <c r="F256" s="33"/>
      <c r="G256" s="42"/>
      <c r="H256" s="43"/>
      <c r="I256" s="43"/>
      <c r="J256" s="36"/>
      <c r="K256" s="37">
        <f t="shared" si="18"/>
      </c>
      <c r="L256" s="31"/>
      <c r="M256" s="72"/>
      <c r="N256" s="73"/>
      <c r="O256" s="74"/>
      <c r="P256" s="75">
        <f>+IF(M256="item",O256,IF(M256&lt;&gt;0,M256*O256,""))</f>
      </c>
      <c r="Q256" s="76"/>
      <c r="S256" s="110"/>
      <c r="T256" s="12"/>
      <c r="U256" s="12"/>
      <c r="V256" s="12"/>
      <c r="W256" s="19"/>
      <c r="X256" s="111"/>
    </row>
    <row r="257" spans="1:24" ht="12.75" hidden="1" outlineLevel="1">
      <c r="A257" s="60"/>
      <c r="B257" s="61"/>
      <c r="C257" s="135">
        <v>1.5</v>
      </c>
      <c r="D257" s="63">
        <f>+C257*C256*B256</f>
        <v>-0.8999999999999999</v>
      </c>
      <c r="E257" s="77"/>
      <c r="F257" s="33"/>
      <c r="G257" s="42"/>
      <c r="H257" s="43"/>
      <c r="I257" s="43"/>
      <c r="J257" s="36"/>
      <c r="K257" s="37">
        <f t="shared" si="18"/>
      </c>
      <c r="L257" s="31"/>
      <c r="M257" s="72"/>
      <c r="N257" s="73"/>
      <c r="O257" s="74"/>
      <c r="P257" s="75"/>
      <c r="Q257" s="76"/>
      <c r="S257" s="110"/>
      <c r="T257" s="12"/>
      <c r="U257" s="12"/>
      <c r="V257" s="12"/>
      <c r="W257" s="19"/>
      <c r="X257" s="111"/>
    </row>
    <row r="258" spans="1:24" ht="12.75" hidden="1" outlineLevel="1">
      <c r="A258" s="60"/>
      <c r="B258" s="61">
        <v>-2</v>
      </c>
      <c r="C258" s="62">
        <v>0.85</v>
      </c>
      <c r="D258" s="63"/>
      <c r="E258" s="77"/>
      <c r="F258" s="33"/>
      <c r="G258" s="42"/>
      <c r="H258" s="43"/>
      <c r="I258" s="43"/>
      <c r="J258" s="36"/>
      <c r="K258" s="37">
        <f t="shared" si="18"/>
      </c>
      <c r="L258" s="31"/>
      <c r="M258" s="72"/>
      <c r="N258" s="73"/>
      <c r="O258" s="74"/>
      <c r="P258" s="75"/>
      <c r="Q258" s="76"/>
      <c r="S258" s="110"/>
      <c r="T258" s="12"/>
      <c r="U258" s="12"/>
      <c r="V258" s="12"/>
      <c r="W258" s="19"/>
      <c r="X258" s="111"/>
    </row>
    <row r="259" spans="1:24" ht="12.75" hidden="1" outlineLevel="1">
      <c r="A259" s="60"/>
      <c r="B259" s="61"/>
      <c r="C259" s="135">
        <v>2.1</v>
      </c>
      <c r="D259" s="63">
        <f>+C259*C258*B258</f>
        <v>-3.57</v>
      </c>
      <c r="E259" s="77"/>
      <c r="F259" s="33"/>
      <c r="G259" s="42"/>
      <c r="H259" s="43"/>
      <c r="I259" s="43"/>
      <c r="J259" s="36"/>
      <c r="K259" s="37">
        <f t="shared" si="18"/>
      </c>
      <c r="L259" s="31"/>
      <c r="M259" s="72"/>
      <c r="N259" s="73"/>
      <c r="O259" s="74"/>
      <c r="P259" s="75"/>
      <c r="Q259" s="76"/>
      <c r="S259" s="110"/>
      <c r="T259" s="12"/>
      <c r="U259" s="12"/>
      <c r="V259" s="12"/>
      <c r="W259" s="19"/>
      <c r="X259" s="111"/>
    </row>
    <row r="260" spans="1:24" ht="12.75" hidden="1" outlineLevel="1">
      <c r="A260" s="60"/>
      <c r="B260" s="61"/>
      <c r="C260" s="62"/>
      <c r="D260" s="63"/>
      <c r="E260" s="77"/>
      <c r="F260" s="33"/>
      <c r="G260" s="42"/>
      <c r="H260" s="43"/>
      <c r="I260" s="43"/>
      <c r="J260" s="36"/>
      <c r="K260" s="37">
        <f aca="true" t="shared" si="19" ref="K260:K276">+IF(F260="item",J260,IF(F260&lt;&gt;0,F260*J260,""))</f>
      </c>
      <c r="L260" s="31"/>
      <c r="M260" s="72"/>
      <c r="N260" s="73"/>
      <c r="O260" s="74"/>
      <c r="P260" s="75"/>
      <c r="Q260" s="76"/>
      <c r="S260" s="110"/>
      <c r="T260" s="12"/>
      <c r="U260" s="12"/>
      <c r="V260" s="12"/>
      <c r="W260" s="19"/>
      <c r="X260" s="111"/>
    </row>
    <row r="261" spans="1:24" ht="12.75" hidden="1" outlineLevel="1">
      <c r="A261" s="60"/>
      <c r="B261" s="61"/>
      <c r="C261" s="62"/>
      <c r="D261" s="65">
        <f>SUM(D233:D260)</f>
        <v>171.68000000000004</v>
      </c>
      <c r="E261" s="77"/>
      <c r="F261" s="33"/>
      <c r="G261" s="42"/>
      <c r="H261" s="43"/>
      <c r="I261" s="43"/>
      <c r="J261" s="36"/>
      <c r="K261" s="37">
        <f t="shared" si="19"/>
      </c>
      <c r="L261" s="31"/>
      <c r="M261" s="72"/>
      <c r="N261" s="73"/>
      <c r="O261" s="74"/>
      <c r="P261" s="75"/>
      <c r="Q261" s="76"/>
      <c r="S261" s="110"/>
      <c r="T261" s="12"/>
      <c r="U261" s="12"/>
      <c r="V261" s="12"/>
      <c r="W261" s="19"/>
      <c r="X261" s="111"/>
    </row>
    <row r="262" spans="1:24" ht="12.75" hidden="1" outlineLevel="1">
      <c r="A262" s="60"/>
      <c r="B262" s="61"/>
      <c r="C262" s="62"/>
      <c r="D262" s="65"/>
      <c r="E262" s="77"/>
      <c r="F262" s="33"/>
      <c r="G262" s="42"/>
      <c r="H262" s="43"/>
      <c r="I262" s="43"/>
      <c r="J262" s="36"/>
      <c r="K262" s="37">
        <f t="shared" si="19"/>
      </c>
      <c r="L262" s="31"/>
      <c r="M262" s="72"/>
      <c r="N262" s="73"/>
      <c r="O262" s="74"/>
      <c r="P262" s="75"/>
      <c r="Q262" s="76"/>
      <c r="S262" s="110"/>
      <c r="T262" s="12"/>
      <c r="U262" s="12"/>
      <c r="V262" s="12"/>
      <c r="W262" s="19"/>
      <c r="X262" s="111"/>
    </row>
    <row r="263" spans="1:24" ht="25.5" hidden="1" outlineLevel="1">
      <c r="A263" s="60"/>
      <c r="B263" s="61"/>
      <c r="C263" s="62"/>
      <c r="D263" s="65"/>
      <c r="E263" s="44" t="s">
        <v>328</v>
      </c>
      <c r="F263" s="33">
        <f>ROUND(D268,0)</f>
        <v>46</v>
      </c>
      <c r="G263" s="42" t="s">
        <v>108</v>
      </c>
      <c r="H263" s="43">
        <v>0.1</v>
      </c>
      <c r="I263" s="43"/>
      <c r="J263" s="36">
        <f>IF(+I263+H263&gt;0,I263+(H263*labour),"")</f>
        <v>3</v>
      </c>
      <c r="K263" s="37">
        <f t="shared" si="19"/>
        <v>138</v>
      </c>
      <c r="L263" s="31"/>
      <c r="M263" s="72"/>
      <c r="N263" s="73"/>
      <c r="O263" s="74"/>
      <c r="P263" s="75"/>
      <c r="Q263" s="76"/>
      <c r="S263" s="110"/>
      <c r="T263" s="12"/>
      <c r="U263" s="12"/>
      <c r="V263" s="12"/>
      <c r="W263" s="19"/>
      <c r="X263" s="111"/>
    </row>
    <row r="264" spans="1:24" ht="12.75" hidden="1" outlineLevel="1">
      <c r="A264" s="60"/>
      <c r="B264" s="61">
        <v>2</v>
      </c>
      <c r="C264" s="135">
        <v>13.7</v>
      </c>
      <c r="D264" s="63">
        <f>+C264*B264</f>
        <v>27.4</v>
      </c>
      <c r="E264" s="77"/>
      <c r="F264" s="33"/>
      <c r="G264" s="42"/>
      <c r="H264" s="43"/>
      <c r="I264" s="43"/>
      <c r="J264" s="36"/>
      <c r="K264" s="37">
        <f t="shared" si="19"/>
      </c>
      <c r="L264" s="31"/>
      <c r="M264" s="72"/>
      <c r="N264" s="73"/>
      <c r="O264" s="74"/>
      <c r="P264" s="75"/>
      <c r="Q264" s="76"/>
      <c r="S264" s="110"/>
      <c r="T264" s="12"/>
      <c r="U264" s="12"/>
      <c r="V264" s="12"/>
      <c r="W264" s="19"/>
      <c r="X264" s="111"/>
    </row>
    <row r="265" spans="1:24" ht="12.75" hidden="1" outlineLevel="1">
      <c r="A265" s="60"/>
      <c r="B265" s="61">
        <v>2</v>
      </c>
      <c r="C265" s="156">
        <v>4</v>
      </c>
      <c r="D265" s="63">
        <f>+C265*B265</f>
        <v>8</v>
      </c>
      <c r="E265" s="77"/>
      <c r="F265" s="33"/>
      <c r="G265" s="42"/>
      <c r="H265" s="43"/>
      <c r="I265" s="43"/>
      <c r="J265" s="36"/>
      <c r="K265" s="37">
        <f t="shared" si="19"/>
      </c>
      <c r="L265" s="31"/>
      <c r="M265" s="72"/>
      <c r="N265" s="73"/>
      <c r="O265" s="74"/>
      <c r="P265" s="75">
        <f>+IF(M265="item",O265,IF(M265&lt;&gt;0,M265*O265,""))</f>
      </c>
      <c r="Q265" s="76"/>
      <c r="S265" s="110"/>
      <c r="T265" s="12"/>
      <c r="U265" s="12"/>
      <c r="V265" s="12"/>
      <c r="W265" s="19"/>
      <c r="X265" s="111"/>
    </row>
    <row r="266" spans="1:24" ht="12.75" hidden="1" outlineLevel="1">
      <c r="A266" s="60"/>
      <c r="B266" s="61">
        <v>4</v>
      </c>
      <c r="C266" s="156">
        <v>2.7</v>
      </c>
      <c r="D266" s="63">
        <f>+C266*B266</f>
        <v>10.8</v>
      </c>
      <c r="E266" s="77"/>
      <c r="F266" s="33"/>
      <c r="G266" s="42"/>
      <c r="H266" s="43"/>
      <c r="I266" s="43"/>
      <c r="J266" s="36"/>
      <c r="K266" s="37">
        <f t="shared" si="19"/>
      </c>
      <c r="L266" s="31"/>
      <c r="M266" s="72"/>
      <c r="N266" s="73"/>
      <c r="O266" s="74"/>
      <c r="P266" s="75">
        <f>+IF(M266="item",O266,IF(M266&lt;&gt;0,M266*O266,""))</f>
      </c>
      <c r="Q266" s="76"/>
      <c r="S266" s="110"/>
      <c r="T266" s="12"/>
      <c r="U266" s="12"/>
      <c r="V266" s="12"/>
      <c r="W266" s="19"/>
      <c r="X266" s="111"/>
    </row>
    <row r="267" spans="1:24" ht="12.75" hidden="1" outlineLevel="1">
      <c r="A267" s="60"/>
      <c r="B267" s="61"/>
      <c r="C267" s="62"/>
      <c r="D267" s="65"/>
      <c r="E267" s="77"/>
      <c r="F267" s="33"/>
      <c r="G267" s="42"/>
      <c r="H267" s="43"/>
      <c r="I267" s="43"/>
      <c r="J267" s="36"/>
      <c r="K267" s="37">
        <f t="shared" si="19"/>
      </c>
      <c r="L267" s="31"/>
      <c r="M267" s="72"/>
      <c r="N267" s="73"/>
      <c r="O267" s="74"/>
      <c r="P267" s="75">
        <f>+IF(M267="item",O267,IF(M267&lt;&gt;0,M267*O267,""))</f>
      </c>
      <c r="Q267" s="76"/>
      <c r="S267" s="110"/>
      <c r="T267" s="12"/>
      <c r="U267" s="12"/>
      <c r="V267" s="12"/>
      <c r="W267" s="19"/>
      <c r="X267" s="111"/>
    </row>
    <row r="268" spans="1:24" ht="12.75" hidden="1" outlineLevel="1">
      <c r="A268" s="60"/>
      <c r="B268" s="61"/>
      <c r="C268" s="62"/>
      <c r="D268" s="65">
        <f>SUM(D264:D267)</f>
        <v>46.2</v>
      </c>
      <c r="E268" s="77"/>
      <c r="F268" s="33"/>
      <c r="G268" s="42"/>
      <c r="H268" s="43"/>
      <c r="I268" s="43"/>
      <c r="J268" s="36"/>
      <c r="K268" s="37">
        <f t="shared" si="19"/>
      </c>
      <c r="L268" s="31"/>
      <c r="M268" s="72"/>
      <c r="N268" s="73"/>
      <c r="O268" s="74"/>
      <c r="P268" s="75">
        <f>+IF(M268="item",O268,IF(M268&lt;&gt;0,M268*O268,""))</f>
      </c>
      <c r="Q268" s="76"/>
      <c r="S268" s="110"/>
      <c r="T268" s="12"/>
      <c r="U268" s="12"/>
      <c r="V268" s="12"/>
      <c r="W268" s="19"/>
      <c r="X268" s="111"/>
    </row>
    <row r="269" spans="1:24" ht="12.75" hidden="1" outlineLevel="1">
      <c r="A269" s="60"/>
      <c r="B269" s="61"/>
      <c r="C269" s="62"/>
      <c r="D269" s="65"/>
      <c r="E269" s="77"/>
      <c r="F269" s="33"/>
      <c r="G269" s="42"/>
      <c r="H269" s="43"/>
      <c r="I269" s="43"/>
      <c r="J269" s="36"/>
      <c r="K269" s="37">
        <f t="shared" si="19"/>
      </c>
      <c r="L269" s="31"/>
      <c r="M269" s="72"/>
      <c r="N269" s="73"/>
      <c r="O269" s="74"/>
      <c r="P269" s="75"/>
      <c r="Q269" s="76"/>
      <c r="S269" s="110"/>
      <c r="T269" s="12"/>
      <c r="U269" s="12"/>
      <c r="V269" s="12"/>
      <c r="W269" s="19"/>
      <c r="X269" s="111"/>
    </row>
    <row r="270" spans="1:24" ht="25.5" hidden="1" outlineLevel="1">
      <c r="A270" s="60"/>
      <c r="B270" s="61"/>
      <c r="C270" s="62"/>
      <c r="D270" s="65"/>
      <c r="E270" s="44" t="s">
        <v>327</v>
      </c>
      <c r="F270" s="33">
        <f>ROUND(SUM(D264),0)</f>
        <v>27</v>
      </c>
      <c r="G270" s="42" t="s">
        <v>108</v>
      </c>
      <c r="H270" s="43"/>
      <c r="I270" s="43"/>
      <c r="J270" s="36">
        <v>75</v>
      </c>
      <c r="K270" s="37">
        <f t="shared" si="19"/>
        <v>2025</v>
      </c>
      <c r="L270" s="31" t="s">
        <v>326</v>
      </c>
      <c r="M270" s="72"/>
      <c r="N270" s="73"/>
      <c r="O270" s="74"/>
      <c r="P270" s="75"/>
      <c r="Q270" s="76"/>
      <c r="S270" s="110"/>
      <c r="T270" s="12"/>
      <c r="U270" s="12"/>
      <c r="V270" s="12"/>
      <c r="W270" s="19"/>
      <c r="X270" s="111"/>
    </row>
    <row r="271" spans="1:24" ht="12.75" hidden="1" outlineLevel="1">
      <c r="A271" s="60"/>
      <c r="B271" s="61"/>
      <c r="C271" s="62"/>
      <c r="D271" s="65"/>
      <c r="E271" s="77"/>
      <c r="F271" s="33"/>
      <c r="G271" s="42"/>
      <c r="H271" s="43"/>
      <c r="I271" s="43"/>
      <c r="J271" s="36"/>
      <c r="K271" s="37">
        <f t="shared" si="19"/>
      </c>
      <c r="L271" s="31"/>
      <c r="M271" s="72"/>
      <c r="N271" s="73"/>
      <c r="O271" s="74"/>
      <c r="P271" s="75"/>
      <c r="Q271" s="76"/>
      <c r="S271" s="110"/>
      <c r="T271" s="12"/>
      <c r="U271" s="12"/>
      <c r="V271" s="12"/>
      <c r="W271" s="19"/>
      <c r="X271" s="111"/>
    </row>
    <row r="272" spans="1:24" ht="25.5" hidden="1" outlineLevel="1">
      <c r="A272" s="60"/>
      <c r="B272" s="61"/>
      <c r="C272" s="62"/>
      <c r="D272" s="65"/>
      <c r="E272" s="44" t="s">
        <v>329</v>
      </c>
      <c r="F272" s="33" t="s">
        <v>1</v>
      </c>
      <c r="G272" s="42"/>
      <c r="H272" s="43">
        <v>16</v>
      </c>
      <c r="I272" s="43">
        <v>150</v>
      </c>
      <c r="J272" s="36">
        <f>IF(+I272+H272&gt;0,I272+(H272*labour),"")</f>
        <v>630</v>
      </c>
      <c r="K272" s="37">
        <f t="shared" si="19"/>
        <v>630</v>
      </c>
      <c r="L272" s="31"/>
      <c r="M272" s="72"/>
      <c r="N272" s="73"/>
      <c r="O272" s="74"/>
      <c r="P272" s="75"/>
      <c r="Q272" s="76"/>
      <c r="S272" s="110"/>
      <c r="T272" s="12"/>
      <c r="U272" s="12"/>
      <c r="V272" s="12"/>
      <c r="W272" s="19"/>
      <c r="X272" s="111"/>
    </row>
    <row r="273" spans="1:24" ht="12.75" hidden="1" outlineLevel="1">
      <c r="A273" s="60"/>
      <c r="B273" s="61"/>
      <c r="C273" s="62"/>
      <c r="D273" s="65"/>
      <c r="E273" s="77"/>
      <c r="F273" s="33"/>
      <c r="G273" s="42"/>
      <c r="H273" s="43"/>
      <c r="I273" s="43"/>
      <c r="J273" s="36"/>
      <c r="K273" s="37">
        <f t="shared" si="19"/>
      </c>
      <c r="L273" s="31"/>
      <c r="M273" s="72"/>
      <c r="N273" s="73"/>
      <c r="O273" s="74"/>
      <c r="P273" s="75"/>
      <c r="Q273" s="76"/>
      <c r="S273" s="110"/>
      <c r="T273" s="12"/>
      <c r="U273" s="12"/>
      <c r="V273" s="12"/>
      <c r="W273" s="19"/>
      <c r="X273" s="111"/>
    </row>
    <row r="274" spans="1:24" ht="25.5" hidden="1" outlineLevel="1">
      <c r="A274" s="60"/>
      <c r="B274" s="61"/>
      <c r="C274" s="62"/>
      <c r="D274" s="65"/>
      <c r="E274" s="44" t="s">
        <v>378</v>
      </c>
      <c r="F274" s="33">
        <f>+ROUND(D278,0)</f>
        <v>39</v>
      </c>
      <c r="G274" s="42" t="s">
        <v>108</v>
      </c>
      <c r="H274" s="43"/>
      <c r="I274" s="43"/>
      <c r="J274" s="36">
        <v>25</v>
      </c>
      <c r="K274" s="37">
        <f t="shared" si="19"/>
        <v>975</v>
      </c>
      <c r="L274" s="31"/>
      <c r="M274" s="72"/>
      <c r="N274" s="73"/>
      <c r="O274" s="74"/>
      <c r="P274" s="75"/>
      <c r="Q274" s="76"/>
      <c r="S274" s="110"/>
      <c r="T274" s="12"/>
      <c r="U274" s="12"/>
      <c r="V274" s="12"/>
      <c r="W274" s="19"/>
      <c r="X274" s="111"/>
    </row>
    <row r="275" spans="1:24" ht="12.75" hidden="1" outlineLevel="1">
      <c r="A275" s="60"/>
      <c r="B275" s="61">
        <v>2</v>
      </c>
      <c r="C275" s="135">
        <v>13.7</v>
      </c>
      <c r="D275" s="63">
        <f>+C275*B275</f>
        <v>27.4</v>
      </c>
      <c r="E275" s="77"/>
      <c r="F275" s="33"/>
      <c r="G275" s="42"/>
      <c r="H275" s="43"/>
      <c r="I275" s="43"/>
      <c r="J275" s="36"/>
      <c r="K275" s="37">
        <f t="shared" si="19"/>
      </c>
      <c r="L275" s="31"/>
      <c r="M275" s="72"/>
      <c r="N275" s="73"/>
      <c r="O275" s="74"/>
      <c r="P275" s="75"/>
      <c r="Q275" s="76"/>
      <c r="S275" s="110"/>
      <c r="T275" s="12"/>
      <c r="U275" s="12"/>
      <c r="V275" s="12"/>
      <c r="W275" s="19"/>
      <c r="X275" s="111"/>
    </row>
    <row r="276" spans="1:24" ht="12.75" hidden="1" outlineLevel="1">
      <c r="A276" s="60"/>
      <c r="B276" s="61">
        <v>2</v>
      </c>
      <c r="C276" s="156">
        <v>6</v>
      </c>
      <c r="D276" s="63">
        <f>+C276*B276</f>
        <v>12</v>
      </c>
      <c r="E276" s="77"/>
      <c r="F276" s="33"/>
      <c r="G276" s="42"/>
      <c r="H276" s="43"/>
      <c r="I276" s="43"/>
      <c r="J276" s="36"/>
      <c r="K276" s="37">
        <f t="shared" si="19"/>
      </c>
      <c r="L276" s="31"/>
      <c r="M276" s="33"/>
      <c r="N276" s="42"/>
      <c r="O276" s="36"/>
      <c r="P276" s="37"/>
      <c r="Q276" s="54"/>
      <c r="S276" s="110"/>
      <c r="T276" s="12"/>
      <c r="U276" s="12"/>
      <c r="V276" s="12"/>
      <c r="W276" s="19"/>
      <c r="X276" s="111"/>
    </row>
    <row r="277" spans="1:24" ht="12.75" hidden="1" outlineLevel="1">
      <c r="A277" s="60"/>
      <c r="B277" s="61"/>
      <c r="C277" s="62"/>
      <c r="D277" s="65"/>
      <c r="E277" s="77"/>
      <c r="F277" s="33"/>
      <c r="G277" s="42"/>
      <c r="H277" s="43"/>
      <c r="I277" s="43"/>
      <c r="J277" s="36"/>
      <c r="K277" s="37">
        <f aca="true" t="shared" si="20" ref="K277:K287">+IF(F277="item",J277,IF(F277&lt;&gt;0,F277*J277,""))</f>
      </c>
      <c r="L277" s="31"/>
      <c r="M277" s="33"/>
      <c r="N277" s="42"/>
      <c r="O277" s="36"/>
      <c r="P277" s="37"/>
      <c r="Q277" s="54"/>
      <c r="S277" s="110"/>
      <c r="T277" s="12"/>
      <c r="U277" s="12"/>
      <c r="V277" s="12"/>
      <c r="W277" s="19"/>
      <c r="X277" s="111"/>
    </row>
    <row r="278" spans="1:24" ht="12.75" hidden="1" outlineLevel="1">
      <c r="A278" s="60"/>
      <c r="B278" s="61"/>
      <c r="C278" s="62"/>
      <c r="D278" s="65">
        <f>SUM(D275:D277)</f>
        <v>39.4</v>
      </c>
      <c r="E278" s="77"/>
      <c r="F278" s="33"/>
      <c r="G278" s="42"/>
      <c r="H278" s="43"/>
      <c r="I278" s="43"/>
      <c r="J278" s="36"/>
      <c r="K278" s="37">
        <f t="shared" si="20"/>
      </c>
      <c r="L278" s="31"/>
      <c r="M278" s="33"/>
      <c r="N278" s="42"/>
      <c r="O278" s="36"/>
      <c r="P278" s="37"/>
      <c r="Q278" s="54"/>
      <c r="S278" s="110"/>
      <c r="T278" s="12"/>
      <c r="U278" s="12"/>
      <c r="V278" s="12"/>
      <c r="W278" s="19"/>
      <c r="X278" s="111"/>
    </row>
    <row r="279" spans="1:24" ht="12.75" hidden="1" outlineLevel="1">
      <c r="A279" s="60"/>
      <c r="B279" s="61"/>
      <c r="C279" s="62"/>
      <c r="D279" s="65"/>
      <c r="E279" s="77"/>
      <c r="F279" s="33"/>
      <c r="G279" s="42"/>
      <c r="H279" s="43"/>
      <c r="I279" s="43"/>
      <c r="J279" s="36"/>
      <c r="K279" s="37">
        <f t="shared" si="20"/>
      </c>
      <c r="L279" s="31"/>
      <c r="M279" s="33"/>
      <c r="N279" s="42"/>
      <c r="O279" s="36"/>
      <c r="P279" s="37"/>
      <c r="Q279" s="54"/>
      <c r="S279" s="110"/>
      <c r="T279" s="12"/>
      <c r="U279" s="12"/>
      <c r="V279" s="12"/>
      <c r="W279" s="19"/>
      <c r="X279" s="111"/>
    </row>
    <row r="280" spans="1:24" ht="25.5" hidden="1" outlineLevel="1">
      <c r="A280" s="60"/>
      <c r="B280" s="61"/>
      <c r="C280" s="62"/>
      <c r="D280" s="65"/>
      <c r="E280" s="44" t="s">
        <v>379</v>
      </c>
      <c r="F280" s="33">
        <f>+ROUND(D283,0)</f>
        <v>18</v>
      </c>
      <c r="G280" s="42" t="s">
        <v>108</v>
      </c>
      <c r="H280" s="43"/>
      <c r="I280" s="43"/>
      <c r="J280" s="36">
        <v>100</v>
      </c>
      <c r="K280" s="37">
        <f t="shared" si="20"/>
        <v>1800</v>
      </c>
      <c r="L280" s="31"/>
      <c r="M280" s="33"/>
      <c r="N280" s="42"/>
      <c r="O280" s="36"/>
      <c r="P280" s="37"/>
      <c r="Q280" s="54"/>
      <c r="S280" s="110"/>
      <c r="T280" s="12"/>
      <c r="U280" s="12"/>
      <c r="V280" s="12"/>
      <c r="W280" s="19"/>
      <c r="X280" s="111"/>
    </row>
    <row r="281" spans="1:24" ht="12.75" hidden="1" outlineLevel="1">
      <c r="A281" s="60"/>
      <c r="B281" s="61">
        <v>4</v>
      </c>
      <c r="C281" s="135">
        <v>4.5</v>
      </c>
      <c r="D281" s="63">
        <f>+C281*B281</f>
        <v>18</v>
      </c>
      <c r="E281" s="77"/>
      <c r="F281" s="33"/>
      <c r="G281" s="42"/>
      <c r="H281" s="43"/>
      <c r="I281" s="43"/>
      <c r="J281" s="36"/>
      <c r="K281" s="37">
        <f t="shared" si="20"/>
      </c>
      <c r="L281" s="31"/>
      <c r="M281" s="33"/>
      <c r="N281" s="42"/>
      <c r="O281" s="36"/>
      <c r="P281" s="37"/>
      <c r="Q281" s="54"/>
      <c r="S281" s="110"/>
      <c r="T281" s="12"/>
      <c r="U281" s="12"/>
      <c r="V281" s="12"/>
      <c r="W281" s="19"/>
      <c r="X281" s="111"/>
    </row>
    <row r="282" spans="1:24" ht="12.75" hidden="1" outlineLevel="1">
      <c r="A282" s="60"/>
      <c r="B282" s="61"/>
      <c r="C282" s="62"/>
      <c r="D282" s="65"/>
      <c r="E282" s="77"/>
      <c r="F282" s="33"/>
      <c r="G282" s="42"/>
      <c r="H282" s="43"/>
      <c r="I282" s="43"/>
      <c r="J282" s="36"/>
      <c r="K282" s="37">
        <f t="shared" si="20"/>
      </c>
      <c r="L282" s="31"/>
      <c r="M282" s="33"/>
      <c r="N282" s="42"/>
      <c r="O282" s="36"/>
      <c r="P282" s="37"/>
      <c r="Q282" s="54"/>
      <c r="S282" s="110"/>
      <c r="T282" s="12"/>
      <c r="U282" s="12"/>
      <c r="V282" s="12"/>
      <c r="W282" s="19"/>
      <c r="X282" s="111"/>
    </row>
    <row r="283" spans="1:24" ht="12.75" hidden="1" outlineLevel="1">
      <c r="A283" s="60"/>
      <c r="B283" s="61"/>
      <c r="C283" s="62"/>
      <c r="D283" s="65">
        <f>SUM(D281:D282)</f>
        <v>18</v>
      </c>
      <c r="E283" s="77"/>
      <c r="F283" s="33"/>
      <c r="G283" s="42"/>
      <c r="H283" s="43"/>
      <c r="I283" s="43"/>
      <c r="J283" s="36"/>
      <c r="K283" s="37">
        <f t="shared" si="20"/>
      </c>
      <c r="L283" s="31"/>
      <c r="M283" s="33"/>
      <c r="N283" s="42"/>
      <c r="O283" s="36"/>
      <c r="P283" s="37"/>
      <c r="Q283" s="54"/>
      <c r="S283" s="110"/>
      <c r="T283" s="12"/>
      <c r="U283" s="12"/>
      <c r="V283" s="12"/>
      <c r="W283" s="19"/>
      <c r="X283" s="111"/>
    </row>
    <row r="284" spans="1:24" ht="12.75" hidden="1" outlineLevel="1">
      <c r="A284" s="60"/>
      <c r="B284" s="61"/>
      <c r="C284" s="62"/>
      <c r="D284" s="65"/>
      <c r="E284" s="77"/>
      <c r="F284" s="33"/>
      <c r="G284" s="42"/>
      <c r="H284" s="43"/>
      <c r="I284" s="43"/>
      <c r="J284" s="36"/>
      <c r="K284" s="37">
        <f t="shared" si="20"/>
      </c>
      <c r="L284" s="31"/>
      <c r="M284" s="33"/>
      <c r="N284" s="42"/>
      <c r="O284" s="36"/>
      <c r="P284" s="37"/>
      <c r="Q284" s="54"/>
      <c r="S284" s="110"/>
      <c r="T284" s="12"/>
      <c r="U284" s="12"/>
      <c r="V284" s="12"/>
      <c r="W284" s="19"/>
      <c r="X284" s="111"/>
    </row>
    <row r="285" spans="1:24" ht="12.75" hidden="1" outlineLevel="1">
      <c r="A285" s="60"/>
      <c r="B285" s="61"/>
      <c r="C285" s="62"/>
      <c r="D285" s="65"/>
      <c r="E285" s="44" t="s">
        <v>380</v>
      </c>
      <c r="F285" s="33">
        <f>+ROUND(D288,0)</f>
        <v>13</v>
      </c>
      <c r="G285" s="42" t="s">
        <v>108</v>
      </c>
      <c r="H285" s="43"/>
      <c r="I285" s="43"/>
      <c r="J285" s="36">
        <v>200</v>
      </c>
      <c r="K285" s="37">
        <f t="shared" si="20"/>
        <v>2600</v>
      </c>
      <c r="L285" s="31" t="s">
        <v>381</v>
      </c>
      <c r="M285" s="33"/>
      <c r="N285" s="42"/>
      <c r="O285" s="36"/>
      <c r="P285" s="37"/>
      <c r="Q285" s="54"/>
      <c r="S285" s="110"/>
      <c r="T285" s="12"/>
      <c r="U285" s="12"/>
      <c r="V285" s="12"/>
      <c r="W285" s="19"/>
      <c r="X285" s="111"/>
    </row>
    <row r="286" spans="1:24" ht="12.75" hidden="1" outlineLevel="1">
      <c r="A286" s="60"/>
      <c r="B286" s="61">
        <v>4</v>
      </c>
      <c r="C286" s="135">
        <v>3.2</v>
      </c>
      <c r="D286" s="63">
        <f>+C286*B286</f>
        <v>12.8</v>
      </c>
      <c r="E286" s="77"/>
      <c r="F286" s="33"/>
      <c r="G286" s="42"/>
      <c r="H286" s="43"/>
      <c r="I286" s="43"/>
      <c r="J286" s="36"/>
      <c r="K286" s="37">
        <f t="shared" si="20"/>
      </c>
      <c r="L286" s="31"/>
      <c r="M286" s="33"/>
      <c r="N286" s="42"/>
      <c r="O286" s="36"/>
      <c r="P286" s="37"/>
      <c r="Q286" s="54"/>
      <c r="S286" s="110"/>
      <c r="T286" s="12"/>
      <c r="U286" s="12"/>
      <c r="V286" s="12"/>
      <c r="W286" s="19"/>
      <c r="X286" s="111"/>
    </row>
    <row r="287" spans="1:24" ht="12.75" hidden="1" outlineLevel="1">
      <c r="A287" s="60"/>
      <c r="B287" s="61"/>
      <c r="C287" s="62"/>
      <c r="D287" s="65"/>
      <c r="E287" s="77"/>
      <c r="F287" s="33"/>
      <c r="G287" s="42"/>
      <c r="H287" s="43"/>
      <c r="I287" s="43"/>
      <c r="J287" s="36"/>
      <c r="K287" s="37">
        <f t="shared" si="20"/>
      </c>
      <c r="L287" s="31"/>
      <c r="M287" s="33"/>
      <c r="N287" s="42"/>
      <c r="O287" s="36"/>
      <c r="P287" s="37"/>
      <c r="Q287" s="54"/>
      <c r="S287" s="110"/>
      <c r="T287" s="12"/>
      <c r="U287" s="12"/>
      <c r="V287" s="12"/>
      <c r="W287" s="19"/>
      <c r="X287" s="111"/>
    </row>
    <row r="288" spans="1:24" ht="12.75" hidden="1" outlineLevel="1">
      <c r="A288" s="60"/>
      <c r="B288" s="61"/>
      <c r="C288" s="62"/>
      <c r="D288" s="65">
        <f>SUM(D286:D287)</f>
        <v>12.8</v>
      </c>
      <c r="E288" s="77"/>
      <c r="F288" s="33"/>
      <c r="G288" s="42"/>
      <c r="H288" s="43"/>
      <c r="I288" s="43"/>
      <c r="J288" s="36"/>
      <c r="K288" s="37"/>
      <c r="L288" s="31"/>
      <c r="M288" s="33"/>
      <c r="N288" s="42"/>
      <c r="O288" s="36"/>
      <c r="P288" s="37"/>
      <c r="Q288" s="54"/>
      <c r="S288" s="110"/>
      <c r="T288" s="12"/>
      <c r="U288" s="12"/>
      <c r="V288" s="12"/>
      <c r="W288" s="19"/>
      <c r="X288" s="111"/>
    </row>
    <row r="289" spans="1:24" ht="12.75" hidden="1" outlineLevel="1">
      <c r="A289" s="60"/>
      <c r="B289" s="61"/>
      <c r="C289" s="62"/>
      <c r="D289" s="65"/>
      <c r="E289" s="77"/>
      <c r="F289" s="33"/>
      <c r="G289" s="42"/>
      <c r="H289" s="43"/>
      <c r="I289" s="43"/>
      <c r="J289" s="36"/>
      <c r="K289" s="37"/>
      <c r="L289" s="31"/>
      <c r="M289" s="33"/>
      <c r="N289" s="42"/>
      <c r="O289" s="36"/>
      <c r="P289" s="37"/>
      <c r="Q289" s="54"/>
      <c r="S289" s="110"/>
      <c r="T289" s="12"/>
      <c r="U289" s="12"/>
      <c r="V289" s="12"/>
      <c r="W289" s="19"/>
      <c r="X289" s="111"/>
    </row>
    <row r="290" spans="1:24" ht="12.75" hidden="1" outlineLevel="1">
      <c r="A290" s="60"/>
      <c r="B290" s="61"/>
      <c r="C290" s="62"/>
      <c r="D290" s="65"/>
      <c r="E290" s="44" t="s">
        <v>332</v>
      </c>
      <c r="F290" s="33">
        <f>ROUND(SUM(D232:D247),0)</f>
        <v>187</v>
      </c>
      <c r="G290" s="42" t="s">
        <v>35</v>
      </c>
      <c r="H290" s="43"/>
      <c r="I290" s="43"/>
      <c r="J290" s="36">
        <v>15</v>
      </c>
      <c r="K290" s="37">
        <f>+IF(F290="item",J290,IF(F290&lt;&gt;0,F290*J290,""))</f>
        <v>2805</v>
      </c>
      <c r="L290" s="31"/>
      <c r="M290" s="33"/>
      <c r="N290" s="42"/>
      <c r="O290" s="36"/>
      <c r="P290" s="37"/>
      <c r="Q290" s="54"/>
      <c r="S290" s="110"/>
      <c r="T290" s="12"/>
      <c r="U290" s="12"/>
      <c r="V290" s="12"/>
      <c r="W290" s="19"/>
      <c r="X290" s="111"/>
    </row>
    <row r="291" spans="1:24" ht="12.75" hidden="1" outlineLevel="1">
      <c r="A291" s="60"/>
      <c r="B291" s="61"/>
      <c r="C291" s="62"/>
      <c r="D291" s="65"/>
      <c r="E291" s="77"/>
      <c r="F291" s="33"/>
      <c r="G291" s="42"/>
      <c r="H291" s="43"/>
      <c r="I291" s="43"/>
      <c r="J291" s="36"/>
      <c r="K291" s="37">
        <f>+IF(F291="item",J291,IF(F291&lt;&gt;0,F291*J291,""))</f>
      </c>
      <c r="L291" s="31"/>
      <c r="M291" s="33"/>
      <c r="N291" s="42"/>
      <c r="O291" s="36"/>
      <c r="P291" s="37"/>
      <c r="Q291" s="54"/>
      <c r="S291" s="110"/>
      <c r="T291" s="12"/>
      <c r="U291" s="12"/>
      <c r="V291" s="12"/>
      <c r="W291" s="19"/>
      <c r="X291" s="111"/>
    </row>
    <row r="292" spans="1:24" ht="12.75" hidden="1" outlineLevel="1">
      <c r="A292" s="60"/>
      <c r="B292" s="61"/>
      <c r="C292" s="62"/>
      <c r="D292" s="65"/>
      <c r="E292" s="38" t="s">
        <v>362</v>
      </c>
      <c r="F292" s="33">
        <v>10</v>
      </c>
      <c r="G292" s="34" t="s">
        <v>363</v>
      </c>
      <c r="H292" s="39"/>
      <c r="I292" s="39"/>
      <c r="J292" s="36">
        <f>SUM(K232:K290)</f>
        <v>36773</v>
      </c>
      <c r="K292" s="37">
        <f>+J292*F292%</f>
        <v>3677.3</v>
      </c>
      <c r="L292" s="31"/>
      <c r="M292" s="33"/>
      <c r="N292" s="42"/>
      <c r="O292" s="36"/>
      <c r="P292" s="37"/>
      <c r="Q292" s="54"/>
      <c r="S292" s="110"/>
      <c r="T292" s="12"/>
      <c r="U292" s="12"/>
      <c r="V292" s="12"/>
      <c r="W292" s="19"/>
      <c r="X292" s="111"/>
    </row>
    <row r="293" spans="1:24" ht="12.75" hidden="1" outlineLevel="1">
      <c r="A293" s="60"/>
      <c r="B293" s="61"/>
      <c r="C293" s="62"/>
      <c r="D293" s="65"/>
      <c r="E293" s="77"/>
      <c r="F293" s="33"/>
      <c r="G293" s="42"/>
      <c r="H293" s="43"/>
      <c r="I293" s="43"/>
      <c r="J293" s="36"/>
      <c r="K293" s="37"/>
      <c r="L293" s="31"/>
      <c r="M293" s="33"/>
      <c r="N293" s="42"/>
      <c r="O293" s="36"/>
      <c r="P293" s="37"/>
      <c r="Q293" s="54"/>
      <c r="S293" s="110"/>
      <c r="T293" s="12"/>
      <c r="U293" s="12"/>
      <c r="V293" s="12"/>
      <c r="W293" s="19"/>
      <c r="X293" s="111"/>
    </row>
    <row r="294" spans="1:24" ht="12.75" collapsed="1">
      <c r="A294" s="60"/>
      <c r="B294" s="61"/>
      <c r="C294" s="62"/>
      <c r="D294" s="65"/>
      <c r="E294" s="77"/>
      <c r="F294" s="33"/>
      <c r="G294" s="42"/>
      <c r="H294" s="43"/>
      <c r="I294" s="43"/>
      <c r="J294" s="36"/>
      <c r="K294" s="37">
        <f>+IF(F294="item",J294,IF(F294&lt;&gt;0,F294*J294,""))</f>
      </c>
      <c r="L294" s="31"/>
      <c r="M294" s="33"/>
      <c r="N294" s="42"/>
      <c r="O294" s="36"/>
      <c r="P294" s="37"/>
      <c r="Q294" s="54"/>
      <c r="S294" s="110"/>
      <c r="T294" s="12"/>
      <c r="U294" s="12"/>
      <c r="V294" s="12"/>
      <c r="W294" s="19"/>
      <c r="X294" s="111"/>
    </row>
    <row r="295" spans="1:24" ht="38.25">
      <c r="A295" s="60"/>
      <c r="B295" s="61"/>
      <c r="C295" s="62"/>
      <c r="D295" s="65"/>
      <c r="E295" s="77" t="s">
        <v>143</v>
      </c>
      <c r="F295" s="33"/>
      <c r="G295" s="42"/>
      <c r="H295" s="43"/>
      <c r="I295" s="43"/>
      <c r="J295" s="36"/>
      <c r="K295" s="53">
        <f>SUM(K296:K407)</f>
        <v>30464.553166666665</v>
      </c>
      <c r="L295" s="31" t="s">
        <v>227</v>
      </c>
      <c r="M295" s="72"/>
      <c r="N295" s="73"/>
      <c r="O295" s="74"/>
      <c r="P295" s="75">
        <f aca="true" t="shared" si="21" ref="P295:P300">+IF(M295="item",O295,IF(M295&lt;&gt;0,M295*O295,""))</f>
      </c>
      <c r="Q295" s="76"/>
      <c r="S295" s="110"/>
      <c r="T295" s="12"/>
      <c r="U295" s="12"/>
      <c r="V295" s="12"/>
      <c r="W295" s="19"/>
      <c r="X295" s="116" t="s">
        <v>265</v>
      </c>
    </row>
    <row r="296" spans="1:24" ht="12.75" hidden="1" outlineLevel="1">
      <c r="A296" s="60"/>
      <c r="B296" s="61"/>
      <c r="C296" s="62"/>
      <c r="D296" s="65"/>
      <c r="E296" s="44" t="s">
        <v>175</v>
      </c>
      <c r="F296" s="33"/>
      <c r="G296" s="42"/>
      <c r="H296" s="43"/>
      <c r="I296" s="43"/>
      <c r="J296" s="36"/>
      <c r="K296" s="37"/>
      <c r="M296" s="72"/>
      <c r="N296" s="73"/>
      <c r="O296" s="74"/>
      <c r="P296" s="75">
        <f t="shared" si="21"/>
      </c>
      <c r="Q296" s="76"/>
      <c r="S296" s="113"/>
      <c r="T296" s="12"/>
      <c r="U296" s="12"/>
      <c r="V296" s="12"/>
      <c r="W296" s="19"/>
      <c r="X296" s="111"/>
    </row>
    <row r="297" spans="1:24" ht="12.75" hidden="1" outlineLevel="1">
      <c r="A297" s="60"/>
      <c r="B297" s="61"/>
      <c r="C297" s="62"/>
      <c r="D297" s="65"/>
      <c r="E297" s="44"/>
      <c r="F297" s="33"/>
      <c r="G297" s="42"/>
      <c r="H297" s="43"/>
      <c r="I297" s="43"/>
      <c r="J297" s="36"/>
      <c r="K297" s="37"/>
      <c r="L297" s="31"/>
      <c r="M297" s="72"/>
      <c r="N297" s="73"/>
      <c r="O297" s="74"/>
      <c r="P297" s="75">
        <f t="shared" si="21"/>
      </c>
      <c r="Q297" s="76"/>
      <c r="S297" s="121"/>
      <c r="T297" s="114"/>
      <c r="U297" s="12"/>
      <c r="V297" s="12"/>
      <c r="W297" s="19"/>
      <c r="X297" s="111"/>
    </row>
    <row r="298" spans="1:24" ht="12.75" hidden="1" outlineLevel="1">
      <c r="A298" s="60"/>
      <c r="B298" s="61"/>
      <c r="C298" s="62"/>
      <c r="D298" s="65"/>
      <c r="E298" s="52" t="s">
        <v>180</v>
      </c>
      <c r="F298" s="33"/>
      <c r="G298" s="42"/>
      <c r="H298" s="43"/>
      <c r="I298" s="43"/>
      <c r="J298" s="36"/>
      <c r="K298" s="37"/>
      <c r="L298" s="31"/>
      <c r="M298" s="72"/>
      <c r="N298" s="73"/>
      <c r="O298" s="74"/>
      <c r="P298" s="75">
        <f t="shared" si="21"/>
      </c>
      <c r="Q298" s="76"/>
      <c r="S298" s="110"/>
      <c r="T298" s="12"/>
      <c r="U298" s="12"/>
      <c r="V298" s="12"/>
      <c r="W298" s="19"/>
      <c r="X298" s="111"/>
    </row>
    <row r="299" spans="1:24" ht="12.75" hidden="1" outlineLevel="1">
      <c r="A299" s="60"/>
      <c r="B299" s="61"/>
      <c r="C299" s="62"/>
      <c r="D299" s="65"/>
      <c r="E299" s="44"/>
      <c r="F299" s="33"/>
      <c r="G299" s="42"/>
      <c r="H299" s="43"/>
      <c r="I299" s="43"/>
      <c r="J299" s="36"/>
      <c r="K299" s="37"/>
      <c r="L299" s="31"/>
      <c r="M299" s="72"/>
      <c r="N299" s="73"/>
      <c r="O299" s="74"/>
      <c r="P299" s="75">
        <f t="shared" si="21"/>
      </c>
      <c r="Q299" s="76"/>
      <c r="S299" s="110"/>
      <c r="T299" s="12"/>
      <c r="U299" s="12"/>
      <c r="V299" s="12"/>
      <c r="W299" s="19"/>
      <c r="X299" s="111"/>
    </row>
    <row r="300" spans="1:24" ht="12.75" hidden="1" outlineLevel="1">
      <c r="A300" s="60"/>
      <c r="B300" s="61"/>
      <c r="C300" s="62"/>
      <c r="D300" s="65"/>
      <c r="E300" s="98" t="s">
        <v>176</v>
      </c>
      <c r="F300" s="33">
        <f>ROUND(D327,0)</f>
        <v>143</v>
      </c>
      <c r="G300" s="42" t="s">
        <v>35</v>
      </c>
      <c r="H300" s="43"/>
      <c r="I300" s="43"/>
      <c r="J300" s="36">
        <f>9.02*1.2</f>
        <v>10.824</v>
      </c>
      <c r="K300" s="37">
        <f>+IF(F300="item",J300,IF(F300&lt;&gt;0,F300*J300,""))</f>
        <v>1547.8319999999999</v>
      </c>
      <c r="L300" s="6"/>
      <c r="M300" s="72"/>
      <c r="N300" s="73"/>
      <c r="O300" s="74"/>
      <c r="P300" s="75">
        <f t="shared" si="21"/>
      </c>
      <c r="Q300" s="76"/>
      <c r="S300" s="121"/>
      <c r="T300" s="114"/>
      <c r="U300" s="12"/>
      <c r="V300" s="12"/>
      <c r="W300" s="19"/>
      <c r="X300" s="111"/>
    </row>
    <row r="301" spans="1:24" ht="12.75" hidden="1" outlineLevel="1">
      <c r="A301" s="60"/>
      <c r="B301" s="61"/>
      <c r="C301" s="62"/>
      <c r="D301" s="65"/>
      <c r="E301" s="98"/>
      <c r="F301" s="33"/>
      <c r="G301" s="42"/>
      <c r="H301" s="43"/>
      <c r="I301" s="43"/>
      <c r="J301" s="36"/>
      <c r="K301" s="37"/>
      <c r="L301" s="6"/>
      <c r="M301" s="72"/>
      <c r="N301" s="73"/>
      <c r="O301" s="74"/>
      <c r="P301" s="75"/>
      <c r="Q301" s="76"/>
      <c r="S301" s="121"/>
      <c r="T301" s="114"/>
      <c r="U301" s="12"/>
      <c r="V301" s="12"/>
      <c r="W301" s="19"/>
      <c r="X301" s="111"/>
    </row>
    <row r="302" spans="1:24" ht="12.75" hidden="1" outlineLevel="1">
      <c r="A302" s="60"/>
      <c r="B302" s="61">
        <v>2</v>
      </c>
      <c r="C302" s="62">
        <v>11.4</v>
      </c>
      <c r="D302" s="63"/>
      <c r="E302" s="77"/>
      <c r="F302" s="33"/>
      <c r="G302" s="42"/>
      <c r="H302" s="43"/>
      <c r="I302" s="43"/>
      <c r="J302" s="36"/>
      <c r="K302" s="37">
        <f aca="true" t="shared" si="22" ref="K302:K325">+IF(F302="item",J302,IF(F302&lt;&gt;0,F302*J302,""))</f>
      </c>
      <c r="L302" s="31"/>
      <c r="M302" s="72"/>
      <c r="N302" s="73"/>
      <c r="O302" s="74"/>
      <c r="P302" s="75">
        <f aca="true" t="shared" si="23" ref="P302:P308">+IF(M302="item",O302,IF(M302&lt;&gt;0,M302*O302,""))</f>
      </c>
      <c r="Q302" s="76"/>
      <c r="S302" s="110"/>
      <c r="T302" s="12"/>
      <c r="U302" s="12"/>
      <c r="V302" s="12"/>
      <c r="W302" s="19"/>
      <c r="X302" s="111"/>
    </row>
    <row r="303" spans="1:24" ht="12.75" hidden="1" outlineLevel="1">
      <c r="A303" s="60"/>
      <c r="B303" s="61"/>
      <c r="C303" s="135">
        <v>4</v>
      </c>
      <c r="D303" s="63">
        <f>+C302*C303*B302</f>
        <v>91.2</v>
      </c>
      <c r="E303" s="77"/>
      <c r="F303" s="33"/>
      <c r="G303" s="42"/>
      <c r="H303" s="43"/>
      <c r="I303" s="43"/>
      <c r="J303" s="36"/>
      <c r="K303" s="37">
        <f t="shared" si="22"/>
      </c>
      <c r="L303" s="31"/>
      <c r="M303" s="72"/>
      <c r="N303" s="73"/>
      <c r="O303" s="74"/>
      <c r="P303" s="75">
        <f t="shared" si="23"/>
      </c>
      <c r="Q303" s="76"/>
      <c r="S303" s="110"/>
      <c r="T303" s="12"/>
      <c r="U303" s="12"/>
      <c r="V303" s="12"/>
      <c r="W303" s="19"/>
      <c r="X303" s="111"/>
    </row>
    <row r="304" spans="1:24" ht="12.75" hidden="1" outlineLevel="1">
      <c r="A304" s="60"/>
      <c r="B304" s="61">
        <v>2</v>
      </c>
      <c r="C304" s="62">
        <v>4.6</v>
      </c>
      <c r="D304" s="63"/>
      <c r="E304" s="77"/>
      <c r="F304" s="33"/>
      <c r="G304" s="42"/>
      <c r="H304" s="43"/>
      <c r="I304" s="43"/>
      <c r="J304" s="36"/>
      <c r="K304" s="37">
        <f t="shared" si="22"/>
      </c>
      <c r="L304" s="31"/>
      <c r="M304" s="72"/>
      <c r="N304" s="73"/>
      <c r="O304" s="74"/>
      <c r="P304" s="75">
        <f t="shared" si="23"/>
      </c>
      <c r="Q304" s="76"/>
      <c r="S304" s="110"/>
      <c r="T304" s="12"/>
      <c r="U304" s="12"/>
      <c r="V304" s="12"/>
      <c r="W304" s="19"/>
      <c r="X304" s="111"/>
    </row>
    <row r="305" spans="1:24" ht="12.75" hidden="1" outlineLevel="1">
      <c r="A305" s="60"/>
      <c r="B305" s="61"/>
      <c r="C305" s="135">
        <v>4</v>
      </c>
      <c r="D305" s="63">
        <f>+C304*C305*B304</f>
        <v>36.8</v>
      </c>
      <c r="E305" s="77"/>
      <c r="F305" s="33"/>
      <c r="G305" s="42"/>
      <c r="H305" s="43"/>
      <c r="I305" s="43"/>
      <c r="J305" s="36"/>
      <c r="K305" s="37">
        <f t="shared" si="22"/>
      </c>
      <c r="L305" s="31"/>
      <c r="M305" s="72"/>
      <c r="N305" s="73"/>
      <c r="O305" s="74"/>
      <c r="P305" s="75">
        <f t="shared" si="23"/>
      </c>
      <c r="Q305" s="76"/>
      <c r="S305" s="110"/>
      <c r="T305" s="12"/>
      <c r="U305" s="12"/>
      <c r="V305" s="12"/>
      <c r="W305" s="19"/>
      <c r="X305" s="111"/>
    </row>
    <row r="306" spans="1:24" ht="12.75" hidden="1" outlineLevel="1">
      <c r="A306" s="60">
        <v>2</v>
      </c>
      <c r="B306" s="66">
        <v>0.5</v>
      </c>
      <c r="C306" s="62">
        <v>4.6</v>
      </c>
      <c r="D306" s="63"/>
      <c r="E306" s="77"/>
      <c r="F306" s="33"/>
      <c r="G306" s="42"/>
      <c r="H306" s="43"/>
      <c r="I306" s="43"/>
      <c r="J306" s="36"/>
      <c r="K306" s="37">
        <f t="shared" si="22"/>
      </c>
      <c r="L306" s="31"/>
      <c r="M306" s="72"/>
      <c r="N306" s="73"/>
      <c r="O306" s="74"/>
      <c r="P306" s="75">
        <f t="shared" si="23"/>
      </c>
      <c r="Q306" s="76"/>
      <c r="S306" s="110"/>
      <c r="T306" s="12"/>
      <c r="U306" s="12"/>
      <c r="V306" s="12"/>
      <c r="W306" s="19"/>
      <c r="X306" s="111"/>
    </row>
    <row r="307" spans="1:24" ht="12.75" hidden="1" outlineLevel="1">
      <c r="A307" s="60"/>
      <c r="B307" s="61"/>
      <c r="C307" s="135">
        <v>3.5</v>
      </c>
      <c r="D307" s="63">
        <f>+C306*C307*B306*A306</f>
        <v>16.099999999999998</v>
      </c>
      <c r="E307" s="77"/>
      <c r="F307" s="33"/>
      <c r="G307" s="42"/>
      <c r="H307" s="43"/>
      <c r="I307" s="43"/>
      <c r="J307" s="36"/>
      <c r="K307" s="37">
        <f t="shared" si="22"/>
      </c>
      <c r="L307" s="31"/>
      <c r="M307" s="72"/>
      <c r="N307" s="73"/>
      <c r="O307" s="74"/>
      <c r="P307" s="75">
        <f t="shared" si="23"/>
      </c>
      <c r="Q307" s="76"/>
      <c r="S307" s="110"/>
      <c r="T307" s="12"/>
      <c r="U307" s="12"/>
      <c r="V307" s="12"/>
      <c r="W307" s="19"/>
      <c r="X307" s="111"/>
    </row>
    <row r="308" spans="1:24" ht="12.75" hidden="1" outlineLevel="1">
      <c r="A308" s="60"/>
      <c r="B308" s="61">
        <v>2</v>
      </c>
      <c r="C308" s="62">
        <v>2</v>
      </c>
      <c r="D308" s="63"/>
      <c r="E308" s="77"/>
      <c r="F308" s="33"/>
      <c r="G308" s="42"/>
      <c r="H308" s="43"/>
      <c r="I308" s="43"/>
      <c r="J308" s="36"/>
      <c r="K308" s="37">
        <f t="shared" si="22"/>
      </c>
      <c r="L308" s="31"/>
      <c r="M308" s="72"/>
      <c r="N308" s="73"/>
      <c r="O308" s="74"/>
      <c r="P308" s="75">
        <f t="shared" si="23"/>
      </c>
      <c r="Q308" s="76"/>
      <c r="S308" s="110"/>
      <c r="T308" s="12"/>
      <c r="U308" s="12"/>
      <c r="V308" s="12"/>
      <c r="W308" s="19"/>
      <c r="X308" s="111"/>
    </row>
    <row r="309" spans="1:24" ht="12.75" hidden="1" outlineLevel="1">
      <c r="A309" s="60"/>
      <c r="B309" s="61"/>
      <c r="C309" s="135">
        <v>2.7</v>
      </c>
      <c r="D309" s="63">
        <f>+C308*C309*B308</f>
        <v>10.8</v>
      </c>
      <c r="E309" s="77"/>
      <c r="F309" s="33"/>
      <c r="G309" s="42"/>
      <c r="H309" s="43"/>
      <c r="I309" s="43"/>
      <c r="J309" s="36"/>
      <c r="K309" s="37">
        <f t="shared" si="22"/>
      </c>
      <c r="L309" s="31"/>
      <c r="M309" s="72"/>
      <c r="N309" s="73"/>
      <c r="O309" s="74"/>
      <c r="P309" s="75"/>
      <c r="Q309" s="76"/>
      <c r="S309" s="110"/>
      <c r="T309" s="12"/>
      <c r="U309" s="12"/>
      <c r="V309" s="12"/>
      <c r="W309" s="19"/>
      <c r="X309" s="111"/>
    </row>
    <row r="310" spans="1:24" ht="12.75" hidden="1" outlineLevel="1">
      <c r="A310" s="60"/>
      <c r="B310" s="61"/>
      <c r="C310" s="62"/>
      <c r="D310" s="63"/>
      <c r="E310" s="77"/>
      <c r="F310" s="33"/>
      <c r="G310" s="42"/>
      <c r="H310" s="43"/>
      <c r="I310" s="43"/>
      <c r="J310" s="36"/>
      <c r="K310" s="37"/>
      <c r="L310" s="31"/>
      <c r="M310" s="72"/>
      <c r="N310" s="73"/>
      <c r="O310" s="74"/>
      <c r="P310" s="75"/>
      <c r="Q310" s="76"/>
      <c r="S310" s="110"/>
      <c r="T310" s="12"/>
      <c r="U310" s="12"/>
      <c r="V310" s="12"/>
      <c r="W310" s="19"/>
      <c r="X310" s="111"/>
    </row>
    <row r="311" spans="1:24" ht="12.75" hidden="1" outlineLevel="1">
      <c r="A311" s="60"/>
      <c r="B311" s="61"/>
      <c r="C311" s="62"/>
      <c r="D311" s="63"/>
      <c r="E311" s="77"/>
      <c r="F311" s="33"/>
      <c r="G311" s="42"/>
      <c r="H311" s="43"/>
      <c r="I311" s="43"/>
      <c r="J311" s="36"/>
      <c r="K311" s="37"/>
      <c r="L311" s="31"/>
      <c r="M311" s="72"/>
      <c r="N311" s="73"/>
      <c r="O311" s="74"/>
      <c r="P311" s="75"/>
      <c r="Q311" s="76"/>
      <c r="S311" s="110"/>
      <c r="T311" s="12"/>
      <c r="U311" s="12"/>
      <c r="V311" s="12"/>
      <c r="W311" s="19"/>
      <c r="X311" s="111"/>
    </row>
    <row r="312" spans="1:24" ht="12.75" hidden="1" outlineLevel="1">
      <c r="A312" s="60">
        <v>2</v>
      </c>
      <c r="B312" s="66">
        <v>-0.5</v>
      </c>
      <c r="C312" s="62">
        <v>2.5</v>
      </c>
      <c r="D312" s="63"/>
      <c r="E312" s="77"/>
      <c r="F312" s="33"/>
      <c r="G312" s="42"/>
      <c r="H312" s="43"/>
      <c r="I312" s="43"/>
      <c r="J312" s="36"/>
      <c r="K312" s="37">
        <f t="shared" si="22"/>
      </c>
      <c r="L312" s="31"/>
      <c r="M312" s="72"/>
      <c r="N312" s="73"/>
      <c r="O312" s="74"/>
      <c r="P312" s="75"/>
      <c r="Q312" s="76"/>
      <c r="S312" s="110"/>
      <c r="T312" s="12"/>
      <c r="U312" s="12"/>
      <c r="V312" s="12"/>
      <c r="W312" s="19"/>
      <c r="X312" s="111"/>
    </row>
    <row r="313" spans="1:24" ht="12.75" hidden="1" outlineLevel="1">
      <c r="A313" s="60"/>
      <c r="B313" s="61"/>
      <c r="C313" s="135">
        <v>1.5</v>
      </c>
      <c r="D313" s="63">
        <f>+C312*C313</f>
        <v>3.75</v>
      </c>
      <c r="E313" s="77"/>
      <c r="F313" s="33"/>
      <c r="G313" s="42"/>
      <c r="H313" s="43"/>
      <c r="I313" s="43"/>
      <c r="J313" s="36"/>
      <c r="K313" s="37">
        <f t="shared" si="22"/>
      </c>
      <c r="L313" s="31"/>
      <c r="M313" s="72"/>
      <c r="N313" s="73"/>
      <c r="O313" s="74"/>
      <c r="P313" s="75"/>
      <c r="Q313" s="76"/>
      <c r="S313" s="110"/>
      <c r="T313" s="12"/>
      <c r="U313" s="12"/>
      <c r="V313" s="12"/>
      <c r="W313" s="19"/>
      <c r="X313" s="111"/>
    </row>
    <row r="314" spans="1:24" ht="12.75" hidden="1" outlineLevel="1">
      <c r="A314" s="60"/>
      <c r="B314" s="61">
        <v>-1</v>
      </c>
      <c r="C314" s="62">
        <v>1.8</v>
      </c>
      <c r="D314" s="63"/>
      <c r="E314" s="77"/>
      <c r="F314" s="33"/>
      <c r="G314" s="42"/>
      <c r="H314" s="43"/>
      <c r="I314" s="43"/>
      <c r="J314" s="36"/>
      <c r="K314" s="37">
        <f t="shared" si="22"/>
      </c>
      <c r="L314" s="31"/>
      <c r="M314" s="72"/>
      <c r="N314" s="73"/>
      <c r="O314" s="74"/>
      <c r="P314" s="75"/>
      <c r="Q314" s="76"/>
      <c r="S314" s="110"/>
      <c r="T314" s="12"/>
      <c r="U314" s="12"/>
      <c r="V314" s="12"/>
      <c r="W314" s="19"/>
      <c r="X314" s="111"/>
    </row>
    <row r="315" spans="1:24" ht="12.75" hidden="1" outlineLevel="1">
      <c r="A315" s="60"/>
      <c r="B315" s="61"/>
      <c r="C315" s="135">
        <v>1.5</v>
      </c>
      <c r="D315" s="63">
        <f>+C315*C314*B314</f>
        <v>-2.7</v>
      </c>
      <c r="E315" s="77"/>
      <c r="F315" s="33"/>
      <c r="G315" s="42"/>
      <c r="H315" s="43"/>
      <c r="I315" s="43"/>
      <c r="J315" s="36"/>
      <c r="K315" s="37">
        <f t="shared" si="22"/>
      </c>
      <c r="L315" s="31"/>
      <c r="M315" s="72"/>
      <c r="N315" s="73"/>
      <c r="O315" s="74"/>
      <c r="P315" s="75"/>
      <c r="Q315" s="76"/>
      <c r="S315" s="110"/>
      <c r="T315" s="12"/>
      <c r="U315" s="12"/>
      <c r="V315" s="12"/>
      <c r="W315" s="19"/>
      <c r="X315" s="111"/>
    </row>
    <row r="316" spans="1:24" ht="12.75" hidden="1" outlineLevel="1">
      <c r="A316" s="60"/>
      <c r="B316" s="61">
        <v>-4</v>
      </c>
      <c r="C316" s="62">
        <v>1.2</v>
      </c>
      <c r="D316" s="63"/>
      <c r="E316" s="77"/>
      <c r="F316" s="33"/>
      <c r="G316" s="42"/>
      <c r="H316" s="43"/>
      <c r="I316" s="43"/>
      <c r="J316" s="36"/>
      <c r="K316" s="37">
        <f t="shared" si="22"/>
      </c>
      <c r="L316" s="31"/>
      <c r="M316" s="72"/>
      <c r="N316" s="73"/>
      <c r="O316" s="74"/>
      <c r="P316" s="75"/>
      <c r="Q316" s="76"/>
      <c r="S316" s="110"/>
      <c r="T316" s="12"/>
      <c r="U316" s="12"/>
      <c r="V316" s="12"/>
      <c r="W316" s="19"/>
      <c r="X316" s="111"/>
    </row>
    <row r="317" spans="1:24" ht="12.75" hidden="1" outlineLevel="1">
      <c r="A317" s="60"/>
      <c r="B317" s="61"/>
      <c r="C317" s="135">
        <v>1.5</v>
      </c>
      <c r="D317" s="63">
        <f>+C317*C316*B316</f>
        <v>-7.199999999999999</v>
      </c>
      <c r="E317" s="77"/>
      <c r="F317" s="33"/>
      <c r="G317" s="42"/>
      <c r="H317" s="43"/>
      <c r="I317" s="43"/>
      <c r="J317" s="36"/>
      <c r="K317" s="37">
        <f t="shared" si="22"/>
      </c>
      <c r="L317" s="31"/>
      <c r="M317" s="72"/>
      <c r="N317" s="73"/>
      <c r="O317" s="74"/>
      <c r="P317" s="75"/>
      <c r="Q317" s="76"/>
      <c r="S317" s="110"/>
      <c r="T317" s="12"/>
      <c r="U317" s="12"/>
      <c r="V317" s="12"/>
      <c r="W317" s="19"/>
      <c r="X317" s="111"/>
    </row>
    <row r="318" spans="1:24" ht="12.75" hidden="1" outlineLevel="1">
      <c r="A318" s="60"/>
      <c r="B318" s="61">
        <v>-1</v>
      </c>
      <c r="C318" s="62">
        <v>0.9</v>
      </c>
      <c r="D318" s="63"/>
      <c r="E318" s="77"/>
      <c r="F318" s="33"/>
      <c r="G318" s="42"/>
      <c r="H318" s="43"/>
      <c r="I318" s="43"/>
      <c r="J318" s="36"/>
      <c r="K318" s="37">
        <f t="shared" si="22"/>
      </c>
      <c r="L318" s="31"/>
      <c r="M318" s="72"/>
      <c r="N318" s="73"/>
      <c r="O318" s="74"/>
      <c r="P318" s="75">
        <f>+IF(M318="item",O318,IF(M318&lt;&gt;0,M318*O318,""))</f>
      </c>
      <c r="Q318" s="76"/>
      <c r="S318" s="110"/>
      <c r="T318" s="12"/>
      <c r="U318" s="12"/>
      <c r="V318" s="12"/>
      <c r="W318" s="19"/>
      <c r="X318" s="111"/>
    </row>
    <row r="319" spans="1:24" ht="12.75" hidden="1" outlineLevel="1">
      <c r="A319" s="60"/>
      <c r="B319" s="61"/>
      <c r="C319" s="135">
        <v>0.9</v>
      </c>
      <c r="D319" s="63">
        <f>+C319*C318*B318</f>
        <v>-0.81</v>
      </c>
      <c r="E319" s="77"/>
      <c r="F319" s="33"/>
      <c r="G319" s="42"/>
      <c r="H319" s="43"/>
      <c r="I319" s="43"/>
      <c r="J319" s="36"/>
      <c r="K319" s="37">
        <f t="shared" si="22"/>
      </c>
      <c r="L319" s="31"/>
      <c r="M319" s="72"/>
      <c r="N319" s="73"/>
      <c r="O319" s="74"/>
      <c r="P319" s="75">
        <f>+IF(M319="item",O319,IF(M319&lt;&gt;0,M319*O319,""))</f>
      </c>
      <c r="Q319" s="76"/>
      <c r="S319" s="110"/>
      <c r="T319" s="12"/>
      <c r="U319" s="12"/>
      <c r="V319" s="12"/>
      <c r="W319" s="19"/>
      <c r="X319" s="111"/>
    </row>
    <row r="320" spans="1:24" ht="12.75" hidden="1" outlineLevel="1">
      <c r="A320" s="60"/>
      <c r="B320" s="61">
        <v>-1</v>
      </c>
      <c r="C320" s="62">
        <v>0.5</v>
      </c>
      <c r="D320" s="63"/>
      <c r="E320" s="77"/>
      <c r="F320" s="33"/>
      <c r="G320" s="42"/>
      <c r="H320" s="43"/>
      <c r="I320" s="43"/>
      <c r="J320" s="36"/>
      <c r="K320" s="37">
        <f t="shared" si="22"/>
      </c>
      <c r="L320" s="31"/>
      <c r="M320" s="72"/>
      <c r="N320" s="73"/>
      <c r="O320" s="74"/>
      <c r="P320" s="75">
        <f>+IF(M320="item",O320,IF(M320&lt;&gt;0,M320*O320,""))</f>
      </c>
      <c r="Q320" s="76"/>
      <c r="S320" s="110"/>
      <c r="T320" s="12"/>
      <c r="U320" s="12"/>
      <c r="V320" s="12"/>
      <c r="W320" s="19"/>
      <c r="X320" s="111"/>
    </row>
    <row r="321" spans="1:24" ht="12.75" hidden="1" outlineLevel="1">
      <c r="A321" s="60"/>
      <c r="B321" s="61"/>
      <c r="C321" s="135">
        <v>0.9</v>
      </c>
      <c r="D321" s="63">
        <f>+C321*C320*B320</f>
        <v>-0.45</v>
      </c>
      <c r="E321" s="77"/>
      <c r="F321" s="33"/>
      <c r="G321" s="42"/>
      <c r="H321" s="43"/>
      <c r="I321" s="43"/>
      <c r="J321" s="36"/>
      <c r="K321" s="37">
        <f t="shared" si="22"/>
      </c>
      <c r="L321" s="31"/>
      <c r="M321" s="72"/>
      <c r="N321" s="73"/>
      <c r="O321" s="74"/>
      <c r="P321" s="75"/>
      <c r="Q321" s="76"/>
      <c r="S321" s="110"/>
      <c r="T321" s="12"/>
      <c r="U321" s="12"/>
      <c r="V321" s="12"/>
      <c r="W321" s="19"/>
      <c r="X321" s="111"/>
    </row>
    <row r="322" spans="1:24" ht="12.75" hidden="1" outlineLevel="1">
      <c r="A322" s="60"/>
      <c r="B322" s="61">
        <v>-1</v>
      </c>
      <c r="C322" s="62">
        <v>0.6</v>
      </c>
      <c r="D322" s="63"/>
      <c r="E322" s="77"/>
      <c r="F322" s="33"/>
      <c r="G322" s="42"/>
      <c r="H322" s="43"/>
      <c r="I322" s="43"/>
      <c r="J322" s="36"/>
      <c r="K322" s="37">
        <f t="shared" si="22"/>
      </c>
      <c r="L322" s="31"/>
      <c r="M322" s="72"/>
      <c r="N322" s="73"/>
      <c r="O322" s="74"/>
      <c r="P322" s="75"/>
      <c r="Q322" s="76"/>
      <c r="S322" s="110"/>
      <c r="T322" s="12"/>
      <c r="U322" s="12"/>
      <c r="V322" s="12"/>
      <c r="W322" s="19"/>
      <c r="X322" s="111"/>
    </row>
    <row r="323" spans="1:24" ht="12.75" hidden="1" outlineLevel="1">
      <c r="A323" s="60"/>
      <c r="B323" s="61"/>
      <c r="C323" s="135">
        <v>1.5</v>
      </c>
      <c r="D323" s="63">
        <f>+C323*C322*B322</f>
        <v>-0.8999999999999999</v>
      </c>
      <c r="E323" s="77"/>
      <c r="F323" s="33"/>
      <c r="G323" s="42"/>
      <c r="H323" s="43"/>
      <c r="I323" s="43"/>
      <c r="J323" s="36"/>
      <c r="K323" s="37">
        <f t="shared" si="22"/>
      </c>
      <c r="L323" s="31"/>
      <c r="M323" s="72"/>
      <c r="N323" s="73"/>
      <c r="O323" s="74"/>
      <c r="P323" s="75"/>
      <c r="Q323" s="76"/>
      <c r="S323" s="110"/>
      <c r="T323" s="12"/>
      <c r="U323" s="12"/>
      <c r="V323" s="12"/>
      <c r="W323" s="19"/>
      <c r="X323" s="111"/>
    </row>
    <row r="324" spans="1:24" ht="12.75" hidden="1" outlineLevel="1">
      <c r="A324" s="60"/>
      <c r="B324" s="61">
        <v>-2</v>
      </c>
      <c r="C324" s="62">
        <v>0.85</v>
      </c>
      <c r="D324" s="63"/>
      <c r="E324" s="77"/>
      <c r="F324" s="33"/>
      <c r="G324" s="42"/>
      <c r="H324" s="43"/>
      <c r="I324" s="43"/>
      <c r="J324" s="36"/>
      <c r="K324" s="37">
        <f t="shared" si="22"/>
      </c>
      <c r="L324" s="31"/>
      <c r="M324" s="72"/>
      <c r="N324" s="73"/>
      <c r="O324" s="74"/>
      <c r="P324" s="75"/>
      <c r="Q324" s="76"/>
      <c r="S324" s="110"/>
      <c r="T324" s="12"/>
      <c r="U324" s="12"/>
      <c r="V324" s="12"/>
      <c r="W324" s="19"/>
      <c r="X324" s="111"/>
    </row>
    <row r="325" spans="1:24" ht="12.75" hidden="1" outlineLevel="1">
      <c r="A325" s="60"/>
      <c r="B325" s="61"/>
      <c r="C325" s="135">
        <v>2.1</v>
      </c>
      <c r="D325" s="63">
        <f>+C325*C324*B324</f>
        <v>-3.57</v>
      </c>
      <c r="E325" s="77"/>
      <c r="F325" s="33"/>
      <c r="G325" s="42"/>
      <c r="H325" s="43"/>
      <c r="I325" s="43"/>
      <c r="J325" s="36"/>
      <c r="K325" s="37">
        <f t="shared" si="22"/>
      </c>
      <c r="L325" s="31"/>
      <c r="M325" s="72"/>
      <c r="N325" s="73"/>
      <c r="O325" s="74"/>
      <c r="P325" s="75"/>
      <c r="Q325" s="76"/>
      <c r="S325" s="110"/>
      <c r="T325" s="12"/>
      <c r="U325" s="12"/>
      <c r="V325" s="12"/>
      <c r="W325" s="19"/>
      <c r="X325" s="111"/>
    </row>
    <row r="326" spans="1:24" ht="12.75" hidden="1" outlineLevel="1">
      <c r="A326" s="60"/>
      <c r="B326" s="61"/>
      <c r="C326" s="62"/>
      <c r="D326" s="63"/>
      <c r="E326" s="44"/>
      <c r="F326" s="33"/>
      <c r="G326" s="42"/>
      <c r="H326" s="43"/>
      <c r="I326" s="43"/>
      <c r="J326" s="36"/>
      <c r="K326" s="37"/>
      <c r="L326" s="31"/>
      <c r="M326" s="72"/>
      <c r="N326" s="73"/>
      <c r="O326" s="74"/>
      <c r="P326" s="75"/>
      <c r="Q326" s="76"/>
      <c r="S326" s="110"/>
      <c r="T326" s="12"/>
      <c r="U326" s="12"/>
      <c r="V326" s="12"/>
      <c r="W326" s="19"/>
      <c r="X326" s="111"/>
    </row>
    <row r="327" spans="1:24" ht="12.75" hidden="1" outlineLevel="1">
      <c r="A327" s="60"/>
      <c r="B327" s="61"/>
      <c r="C327" s="62"/>
      <c r="D327" s="65">
        <f>SUM(D302:D326)</f>
        <v>143.02000000000004</v>
      </c>
      <c r="E327" s="77"/>
      <c r="F327" s="33"/>
      <c r="G327" s="42"/>
      <c r="H327" s="43"/>
      <c r="I327" s="43"/>
      <c r="J327" s="36"/>
      <c r="K327" s="37">
        <f>+IF(F327="item",J327,IF(F327&lt;&gt;0,F327*J327,""))</f>
      </c>
      <c r="L327" s="31"/>
      <c r="M327" s="72"/>
      <c r="N327" s="73"/>
      <c r="O327" s="74"/>
      <c r="P327" s="75"/>
      <c r="Q327" s="76"/>
      <c r="S327" s="110"/>
      <c r="T327" s="12"/>
      <c r="U327" s="12"/>
      <c r="V327" s="12"/>
      <c r="W327" s="19"/>
      <c r="X327" s="111"/>
    </row>
    <row r="328" spans="1:24" ht="12.75" hidden="1" outlineLevel="1">
      <c r="A328" s="60"/>
      <c r="B328" s="61"/>
      <c r="C328" s="62"/>
      <c r="D328" s="65"/>
      <c r="E328" s="98"/>
      <c r="F328" s="33"/>
      <c r="G328" s="42"/>
      <c r="H328" s="43"/>
      <c r="I328" s="43"/>
      <c r="J328" s="36"/>
      <c r="K328" s="37"/>
      <c r="L328" s="6"/>
      <c r="M328" s="72"/>
      <c r="N328" s="73"/>
      <c r="O328" s="74"/>
      <c r="P328" s="75"/>
      <c r="Q328" s="76"/>
      <c r="S328" s="121"/>
      <c r="T328" s="114"/>
      <c r="U328" s="12"/>
      <c r="V328" s="12"/>
      <c r="W328" s="19"/>
      <c r="X328" s="111"/>
    </row>
    <row r="329" spans="1:24" ht="12.75" hidden="1" outlineLevel="1">
      <c r="A329" s="60"/>
      <c r="B329" s="61"/>
      <c r="C329" s="62"/>
      <c r="D329" s="65"/>
      <c r="E329" s="98" t="s">
        <v>201</v>
      </c>
      <c r="F329" s="33">
        <f>+F300</f>
        <v>143</v>
      </c>
      <c r="G329" s="42" t="s">
        <v>35</v>
      </c>
      <c r="H329" s="43"/>
      <c r="I329" s="43"/>
      <c r="J329" s="36">
        <v>0.5</v>
      </c>
      <c r="K329" s="37">
        <f>+IF(F329="item",J329,IF(F329&lt;&gt;0,F329*J329,""))</f>
        <v>71.5</v>
      </c>
      <c r="L329" s="6"/>
      <c r="M329" s="72"/>
      <c r="N329" s="73"/>
      <c r="O329" s="74"/>
      <c r="P329" s="75">
        <f aca="true" t="shared" si="24" ref="P329:P343">+IF(M329="item",O329,IF(M329&lt;&gt;0,M329*O329,""))</f>
      </c>
      <c r="Q329" s="76"/>
      <c r="S329" s="121"/>
      <c r="T329" s="114"/>
      <c r="U329" s="12"/>
      <c r="V329" s="12"/>
      <c r="W329" s="19"/>
      <c r="X329" s="111"/>
    </row>
    <row r="330" spans="1:24" ht="12.75" hidden="1" outlineLevel="1">
      <c r="A330" s="60"/>
      <c r="B330" s="61"/>
      <c r="C330" s="62"/>
      <c r="D330" s="65"/>
      <c r="E330" s="52"/>
      <c r="F330" s="33"/>
      <c r="G330" s="42"/>
      <c r="H330" s="43"/>
      <c r="I330" s="43"/>
      <c r="J330" s="36">
        <f>IF(+I330+H330&gt;0,I330+(H330*labour),"")</f>
      </c>
      <c r="K330" s="37">
        <f>+IF(F330="item",J330,IF(F330&lt;&gt;0,F330*J330,""))</f>
      </c>
      <c r="L330" s="6"/>
      <c r="M330" s="72"/>
      <c r="N330" s="73"/>
      <c r="O330" s="74"/>
      <c r="P330" s="75">
        <f t="shared" si="24"/>
      </c>
      <c r="Q330" s="76"/>
      <c r="S330" s="110"/>
      <c r="T330" s="12"/>
      <c r="U330" s="12"/>
      <c r="V330" s="12"/>
      <c r="W330" s="19"/>
      <c r="X330" s="111"/>
    </row>
    <row r="331" spans="1:24" ht="12.75" hidden="1" outlineLevel="1">
      <c r="A331" s="60"/>
      <c r="B331" s="61"/>
      <c r="C331" s="62"/>
      <c r="D331" s="65"/>
      <c r="E331" s="98" t="s">
        <v>177</v>
      </c>
      <c r="F331" s="33">
        <f>+F329</f>
        <v>143</v>
      </c>
      <c r="G331" s="42" t="s">
        <v>35</v>
      </c>
      <c r="H331" s="43">
        <v>0.15</v>
      </c>
      <c r="I331" s="43">
        <f>+iqadhesive</f>
        <v>9.450000000000001</v>
      </c>
      <c r="J331" s="36">
        <f>IF(+I331+H331&gt;0,I331+(H331*labour),"")</f>
        <v>13.950000000000001</v>
      </c>
      <c r="K331" s="37">
        <f>+IF(F331="item",J331,IF(F331&lt;&gt;0,F331*J331,""))</f>
        <v>1994.8500000000001</v>
      </c>
      <c r="L331" s="6"/>
      <c r="M331" s="72"/>
      <c r="N331" s="73"/>
      <c r="O331" s="74"/>
      <c r="P331" s="75">
        <f t="shared" si="24"/>
      </c>
      <c r="Q331" s="76"/>
      <c r="S331" s="121"/>
      <c r="T331" s="114"/>
      <c r="U331" s="12"/>
      <c r="V331" s="12"/>
      <c r="W331" s="19"/>
      <c r="X331" s="111"/>
    </row>
    <row r="332" spans="1:24" ht="12.75" hidden="1" outlineLevel="1">
      <c r="A332" s="60"/>
      <c r="B332" s="61"/>
      <c r="C332" s="62"/>
      <c r="D332" s="65"/>
      <c r="E332" s="52"/>
      <c r="F332" s="33"/>
      <c r="G332" s="42"/>
      <c r="H332" s="43"/>
      <c r="I332" s="43"/>
      <c r="J332" s="36"/>
      <c r="K332" s="37"/>
      <c r="L332" s="31"/>
      <c r="M332" s="72"/>
      <c r="N332" s="73"/>
      <c r="O332" s="74"/>
      <c r="P332" s="75">
        <f t="shared" si="24"/>
      </c>
      <c r="Q332" s="76"/>
      <c r="S332" s="110"/>
      <c r="T332" s="12"/>
      <c r="U332" s="12"/>
      <c r="V332" s="12"/>
      <c r="W332" s="19"/>
      <c r="X332" s="111"/>
    </row>
    <row r="333" spans="1:24" ht="12.75" hidden="1" outlineLevel="1">
      <c r="A333" s="60"/>
      <c r="B333" s="61"/>
      <c r="C333" s="62"/>
      <c r="D333" s="65"/>
      <c r="E333" s="98" t="s">
        <v>200</v>
      </c>
      <c r="F333" s="33">
        <f>+F329</f>
        <v>143</v>
      </c>
      <c r="G333" s="42" t="s">
        <v>35</v>
      </c>
      <c r="H333" s="43">
        <v>0.25</v>
      </c>
      <c r="I333" s="39">
        <f>+iqtherm</f>
        <v>74.51388888888889</v>
      </c>
      <c r="J333" s="36">
        <f aca="true" t="shared" si="25" ref="J333:J342">IF(+I333+H333&gt;0,I333+(H333*labour),"")</f>
        <v>82.01388888888889</v>
      </c>
      <c r="K333" s="37">
        <f aca="true" t="shared" si="26" ref="K333:K343">+IF(F333="item",J333,IF(F333&lt;&gt;0,F333*J333,""))</f>
        <v>11727.986111111111</v>
      </c>
      <c r="L333" s="31"/>
      <c r="M333" s="72"/>
      <c r="N333" s="73"/>
      <c r="O333" s="74"/>
      <c r="P333" s="75">
        <f t="shared" si="24"/>
      </c>
      <c r="Q333" s="76"/>
      <c r="S333" s="121"/>
      <c r="T333" s="114"/>
      <c r="U333" s="12"/>
      <c r="V333" s="12"/>
      <c r="W333" s="19"/>
      <c r="X333" s="111"/>
    </row>
    <row r="334" spans="1:24" ht="12.75" hidden="1" outlineLevel="1">
      <c r="A334" s="60"/>
      <c r="B334" s="61"/>
      <c r="C334" s="62"/>
      <c r="D334" s="65"/>
      <c r="E334" s="98"/>
      <c r="F334" s="33"/>
      <c r="G334" s="42"/>
      <c r="H334" s="43"/>
      <c r="I334" s="43"/>
      <c r="J334" s="36">
        <f t="shared" si="25"/>
      </c>
      <c r="K334" s="37">
        <f t="shared" si="26"/>
      </c>
      <c r="L334" s="31"/>
      <c r="M334" s="72"/>
      <c r="N334" s="73"/>
      <c r="O334" s="74"/>
      <c r="P334" s="75">
        <f t="shared" si="24"/>
      </c>
      <c r="Q334" s="76"/>
      <c r="S334" s="110"/>
      <c r="T334" s="12"/>
      <c r="U334" s="12"/>
      <c r="V334" s="12"/>
      <c r="W334" s="19"/>
      <c r="X334" s="111"/>
    </row>
    <row r="335" spans="1:24" ht="12.75" hidden="1" outlineLevel="1">
      <c r="A335" s="60"/>
      <c r="B335" s="61"/>
      <c r="C335" s="62"/>
      <c r="D335" s="65"/>
      <c r="E335" s="98" t="s">
        <v>217</v>
      </c>
      <c r="F335" s="33">
        <f>+F333</f>
        <v>143</v>
      </c>
      <c r="G335" s="42" t="s">
        <v>35</v>
      </c>
      <c r="H335" s="43">
        <v>1</v>
      </c>
      <c r="I335" s="43">
        <f>iqtop</f>
        <v>20.3</v>
      </c>
      <c r="J335" s="36">
        <f t="shared" si="25"/>
        <v>50.3</v>
      </c>
      <c r="K335" s="37">
        <f t="shared" si="26"/>
        <v>7192.9</v>
      </c>
      <c r="L335" s="31"/>
      <c r="M335" s="72"/>
      <c r="N335" s="73"/>
      <c r="O335" s="74"/>
      <c r="P335" s="75">
        <f t="shared" si="24"/>
      </c>
      <c r="Q335" s="76"/>
      <c r="S335" s="121"/>
      <c r="T335" s="114"/>
      <c r="U335" s="12"/>
      <c r="V335" s="12"/>
      <c r="W335" s="19"/>
      <c r="X335" s="111"/>
    </row>
    <row r="336" spans="1:24" ht="12.75" hidden="1" outlineLevel="1">
      <c r="A336" s="60"/>
      <c r="B336" s="61"/>
      <c r="C336" s="62"/>
      <c r="D336" s="65"/>
      <c r="E336" s="98"/>
      <c r="F336" s="33"/>
      <c r="G336" s="42"/>
      <c r="H336" s="43"/>
      <c r="I336" s="43"/>
      <c r="J336" s="36">
        <f t="shared" si="25"/>
      </c>
      <c r="K336" s="37">
        <f t="shared" si="26"/>
      </c>
      <c r="L336" s="31"/>
      <c r="M336" s="72"/>
      <c r="N336" s="73"/>
      <c r="O336" s="74"/>
      <c r="P336" s="75">
        <f t="shared" si="24"/>
      </c>
      <c r="Q336" s="76"/>
      <c r="S336" s="110"/>
      <c r="T336" s="12"/>
      <c r="U336" s="12"/>
      <c r="V336" s="12"/>
      <c r="W336" s="19"/>
      <c r="X336" s="111"/>
    </row>
    <row r="337" spans="1:24" ht="12.75" hidden="1" outlineLevel="1">
      <c r="A337" s="60"/>
      <c r="B337" s="61"/>
      <c r="C337" s="62"/>
      <c r="D337" s="65"/>
      <c r="E337" s="98" t="s">
        <v>178</v>
      </c>
      <c r="F337" s="33">
        <f>+F335</f>
        <v>143</v>
      </c>
      <c r="G337" s="42" t="s">
        <v>35</v>
      </c>
      <c r="H337" s="43">
        <v>0.1</v>
      </c>
      <c r="I337" s="43">
        <f>+iqreinforce</f>
        <v>3.696</v>
      </c>
      <c r="J337" s="36">
        <f t="shared" si="25"/>
        <v>6.696</v>
      </c>
      <c r="K337" s="37">
        <f t="shared" si="26"/>
        <v>957.5279999999999</v>
      </c>
      <c r="L337" s="31"/>
      <c r="M337" s="72"/>
      <c r="N337" s="73"/>
      <c r="O337" s="74"/>
      <c r="P337" s="75">
        <f t="shared" si="24"/>
      </c>
      <c r="Q337" s="76"/>
      <c r="S337" s="121"/>
      <c r="T337" s="114"/>
      <c r="U337" s="12"/>
      <c r="V337" s="12"/>
      <c r="W337" s="19"/>
      <c r="X337" s="111"/>
    </row>
    <row r="338" spans="1:24" ht="12.75" hidden="1" outlineLevel="1">
      <c r="A338" s="60"/>
      <c r="B338" s="61"/>
      <c r="C338" s="62"/>
      <c r="D338" s="65"/>
      <c r="E338" s="98"/>
      <c r="F338" s="33"/>
      <c r="G338" s="42"/>
      <c r="H338" s="43"/>
      <c r="I338" s="43"/>
      <c r="J338" s="36">
        <f t="shared" si="25"/>
      </c>
      <c r="K338" s="37">
        <f t="shared" si="26"/>
      </c>
      <c r="L338" s="31"/>
      <c r="M338" s="72"/>
      <c r="N338" s="73"/>
      <c r="O338" s="74"/>
      <c r="P338" s="75">
        <f t="shared" si="24"/>
      </c>
      <c r="Q338" s="76"/>
      <c r="S338" s="110"/>
      <c r="T338" s="12"/>
      <c r="U338" s="12"/>
      <c r="V338" s="12"/>
      <c r="W338" s="19"/>
      <c r="X338" s="111"/>
    </row>
    <row r="339" spans="1:24" ht="12.75" hidden="1" outlineLevel="1">
      <c r="A339" s="60"/>
      <c r="B339" s="61"/>
      <c r="C339" s="62"/>
      <c r="D339" s="65"/>
      <c r="E339" s="98" t="s">
        <v>179</v>
      </c>
      <c r="F339" s="33">
        <f>+F337</f>
        <v>143</v>
      </c>
      <c r="G339" s="42" t="s">
        <v>35</v>
      </c>
      <c r="H339" s="43">
        <v>0.25</v>
      </c>
      <c r="I339" s="43">
        <f>+iqfinish</f>
        <v>5.6000000000000005</v>
      </c>
      <c r="J339" s="36">
        <f t="shared" si="25"/>
        <v>13.100000000000001</v>
      </c>
      <c r="K339" s="37">
        <f t="shared" si="26"/>
        <v>1873.3000000000002</v>
      </c>
      <c r="L339" s="31"/>
      <c r="M339" s="72"/>
      <c r="N339" s="73"/>
      <c r="O339" s="74"/>
      <c r="P339" s="75">
        <f t="shared" si="24"/>
      </c>
      <c r="Q339" s="76"/>
      <c r="S339" s="121"/>
      <c r="T339" s="114"/>
      <c r="U339" s="12"/>
      <c r="V339" s="12"/>
      <c r="W339" s="19"/>
      <c r="X339" s="111"/>
    </row>
    <row r="340" spans="1:24" ht="12.75" hidden="1" outlineLevel="1">
      <c r="A340" s="60"/>
      <c r="B340" s="61"/>
      <c r="C340" s="62"/>
      <c r="D340" s="65"/>
      <c r="E340" s="44"/>
      <c r="F340" s="33"/>
      <c r="G340" s="42"/>
      <c r="H340" s="43"/>
      <c r="I340" s="43"/>
      <c r="J340" s="36">
        <f t="shared" si="25"/>
      </c>
      <c r="K340" s="37">
        <f t="shared" si="26"/>
      </c>
      <c r="L340" s="31" t="s">
        <v>221</v>
      </c>
      <c r="M340" s="72"/>
      <c r="N340" s="73"/>
      <c r="O340" s="74"/>
      <c r="P340" s="75">
        <f t="shared" si="24"/>
      </c>
      <c r="Q340" s="76"/>
      <c r="S340" s="110"/>
      <c r="T340" s="12"/>
      <c r="U340" s="12"/>
      <c r="V340" s="12"/>
      <c r="W340" s="19"/>
      <c r="X340" s="111"/>
    </row>
    <row r="341" spans="1:24" ht="12.75" hidden="1" outlineLevel="1">
      <c r="A341" s="60"/>
      <c r="B341" s="61"/>
      <c r="C341" s="62"/>
      <c r="D341" s="65"/>
      <c r="E341" s="52" t="s">
        <v>183</v>
      </c>
      <c r="F341" s="33"/>
      <c r="G341" s="42"/>
      <c r="H341" s="43"/>
      <c r="I341" s="43"/>
      <c r="J341" s="36">
        <f t="shared" si="25"/>
      </c>
      <c r="K341" s="37">
        <f t="shared" si="26"/>
      </c>
      <c r="L341" s="31" t="s">
        <v>222</v>
      </c>
      <c r="M341" s="72"/>
      <c r="N341" s="73"/>
      <c r="O341" s="74"/>
      <c r="P341" s="75">
        <f t="shared" si="24"/>
      </c>
      <c r="Q341" s="76"/>
      <c r="S341" s="110"/>
      <c r="T341" s="12"/>
      <c r="U341" s="12"/>
      <c r="V341" s="12"/>
      <c r="W341" s="19"/>
      <c r="X341" s="111"/>
    </row>
    <row r="342" spans="1:24" ht="12.75" hidden="1" outlineLevel="1">
      <c r="A342" s="60"/>
      <c r="B342" s="61"/>
      <c r="C342" s="62"/>
      <c r="D342" s="65"/>
      <c r="E342" s="44"/>
      <c r="F342" s="33"/>
      <c r="G342" s="42"/>
      <c r="H342" s="43"/>
      <c r="I342" s="43"/>
      <c r="J342" s="36">
        <f t="shared" si="25"/>
      </c>
      <c r="K342" s="37">
        <f t="shared" si="26"/>
      </c>
      <c r="L342" s="31" t="s">
        <v>223</v>
      </c>
      <c r="M342" s="72"/>
      <c r="N342" s="73"/>
      <c r="O342" s="74"/>
      <c r="P342" s="75">
        <f t="shared" si="24"/>
      </c>
      <c r="Q342" s="76"/>
      <c r="S342" s="110"/>
      <c r="T342" s="12"/>
      <c r="U342" s="12"/>
      <c r="V342" s="12"/>
      <c r="W342" s="19"/>
      <c r="X342" s="111"/>
    </row>
    <row r="343" spans="1:24" ht="12.75" hidden="1" outlineLevel="1">
      <c r="A343" s="60"/>
      <c r="B343" s="61"/>
      <c r="C343" s="62"/>
      <c r="D343" s="65"/>
      <c r="E343" s="98" t="s">
        <v>176</v>
      </c>
      <c r="F343" s="33">
        <f>ROUND(D349,0)</f>
        <v>8</v>
      </c>
      <c r="G343" s="42" t="s">
        <v>35</v>
      </c>
      <c r="H343" s="43"/>
      <c r="I343" s="43"/>
      <c r="J343" s="36">
        <f>+J300</f>
        <v>10.824</v>
      </c>
      <c r="K343" s="37">
        <f t="shared" si="26"/>
        <v>86.592</v>
      </c>
      <c r="L343" s="31" t="s">
        <v>224</v>
      </c>
      <c r="M343" s="72"/>
      <c r="N343" s="73"/>
      <c r="O343" s="74"/>
      <c r="P343" s="75">
        <f t="shared" si="24"/>
      </c>
      <c r="Q343" s="76"/>
      <c r="S343" s="121"/>
      <c r="T343" s="114"/>
      <c r="U343" s="12"/>
      <c r="V343" s="12"/>
      <c r="W343" s="19"/>
      <c r="X343" s="111"/>
    </row>
    <row r="344" spans="1:24" ht="12.75" hidden="1" outlineLevel="1">
      <c r="A344" s="60"/>
      <c r="B344" s="61"/>
      <c r="C344" s="62"/>
      <c r="D344" s="65"/>
      <c r="E344" s="98"/>
      <c r="F344" s="33"/>
      <c r="G344" s="42"/>
      <c r="H344" s="43"/>
      <c r="I344" s="43"/>
      <c r="J344" s="36"/>
      <c r="K344" s="37"/>
      <c r="L344" s="31"/>
      <c r="M344" s="72"/>
      <c r="N344" s="73"/>
      <c r="O344" s="74"/>
      <c r="P344" s="75"/>
      <c r="Q344" s="76"/>
      <c r="S344" s="121"/>
      <c r="T344" s="114"/>
      <c r="U344" s="12"/>
      <c r="V344" s="12"/>
      <c r="W344" s="19"/>
      <c r="X344" s="111"/>
    </row>
    <row r="345" spans="1:24" ht="12.75" hidden="1" outlineLevel="1">
      <c r="A345" s="60"/>
      <c r="B345" s="61">
        <v>4</v>
      </c>
      <c r="C345" s="62">
        <v>0.3</v>
      </c>
      <c r="D345" s="65"/>
      <c r="E345" s="98"/>
      <c r="F345" s="33"/>
      <c r="G345" s="42"/>
      <c r="H345" s="43"/>
      <c r="I345" s="43"/>
      <c r="J345" s="36"/>
      <c r="K345" s="37"/>
      <c r="L345" s="31"/>
      <c r="M345" s="72"/>
      <c r="N345" s="73"/>
      <c r="O345" s="74"/>
      <c r="P345" s="75"/>
      <c r="Q345" s="76"/>
      <c r="S345" s="121"/>
      <c r="T345" s="114"/>
      <c r="U345" s="12"/>
      <c r="V345" s="12"/>
      <c r="W345" s="19"/>
      <c r="X345" s="111"/>
    </row>
    <row r="346" spans="1:24" ht="12.75" hidden="1" outlineLevel="1">
      <c r="A346" s="60"/>
      <c r="B346" s="61"/>
      <c r="C346" s="135">
        <v>2.7</v>
      </c>
      <c r="D346" s="63">
        <f>+B345*C345*C346</f>
        <v>3.24</v>
      </c>
      <c r="E346" s="98"/>
      <c r="F346" s="33"/>
      <c r="G346" s="42"/>
      <c r="H346" s="43"/>
      <c r="I346" s="43"/>
      <c r="J346" s="36"/>
      <c r="K346" s="37"/>
      <c r="L346" s="31"/>
      <c r="M346" s="72"/>
      <c r="N346" s="73"/>
      <c r="O346" s="74"/>
      <c r="P346" s="75"/>
      <c r="Q346" s="76"/>
      <c r="S346" s="121"/>
      <c r="T346" s="114"/>
      <c r="U346" s="12"/>
      <c r="V346" s="12"/>
      <c r="W346" s="19"/>
      <c r="X346" s="111"/>
    </row>
    <row r="347" spans="1:24" ht="12.75" hidden="1" outlineLevel="1">
      <c r="A347" s="60"/>
      <c r="B347" s="61">
        <v>4</v>
      </c>
      <c r="C347" s="62">
        <v>0.3</v>
      </c>
      <c r="D347" s="65"/>
      <c r="E347" s="98"/>
      <c r="F347" s="33"/>
      <c r="G347" s="42"/>
      <c r="H347" s="43"/>
      <c r="I347" s="43"/>
      <c r="J347" s="36"/>
      <c r="K347" s="37"/>
      <c r="L347" s="31"/>
      <c r="M347" s="72"/>
      <c r="N347" s="73"/>
      <c r="O347" s="74"/>
      <c r="P347" s="75"/>
      <c r="Q347" s="76"/>
      <c r="S347" s="121"/>
      <c r="T347" s="114"/>
      <c r="U347" s="12"/>
      <c r="V347" s="12"/>
      <c r="W347" s="19"/>
      <c r="X347" s="111"/>
    </row>
    <row r="348" spans="1:24" ht="12.75" hidden="1" outlineLevel="1">
      <c r="A348" s="60"/>
      <c r="B348" s="61"/>
      <c r="C348" s="135">
        <v>4</v>
      </c>
      <c r="D348" s="63">
        <f>+B347*C347*C348</f>
        <v>4.8</v>
      </c>
      <c r="E348" s="98"/>
      <c r="F348" s="33"/>
      <c r="G348" s="42"/>
      <c r="H348" s="43"/>
      <c r="I348" s="43"/>
      <c r="J348" s="36"/>
      <c r="K348" s="37"/>
      <c r="L348" s="31"/>
      <c r="M348" s="72"/>
      <c r="N348" s="73"/>
      <c r="O348" s="74"/>
      <c r="P348" s="75"/>
      <c r="Q348" s="76"/>
      <c r="S348" s="121"/>
      <c r="T348" s="114"/>
      <c r="U348" s="12"/>
      <c r="V348" s="12"/>
      <c r="W348" s="19"/>
      <c r="X348" s="111"/>
    </row>
    <row r="349" spans="1:24" ht="12.75" hidden="1" outlineLevel="1">
      <c r="A349" s="60"/>
      <c r="B349" s="61"/>
      <c r="C349" s="62"/>
      <c r="D349" s="65">
        <f>SUM(D345:D348)</f>
        <v>8.04</v>
      </c>
      <c r="E349" s="98"/>
      <c r="F349" s="33"/>
      <c r="G349" s="42"/>
      <c r="H349" s="43"/>
      <c r="I349" s="43"/>
      <c r="J349" s="36"/>
      <c r="K349" s="37"/>
      <c r="L349" s="31"/>
      <c r="M349" s="72"/>
      <c r="N349" s="73"/>
      <c r="O349" s="74"/>
      <c r="P349" s="75"/>
      <c r="Q349" s="76"/>
      <c r="S349" s="121"/>
      <c r="T349" s="114"/>
      <c r="U349" s="12"/>
      <c r="V349" s="12"/>
      <c r="W349" s="19"/>
      <c r="X349" s="111"/>
    </row>
    <row r="350" spans="1:24" ht="12.75" hidden="1" outlineLevel="1">
      <c r="A350" s="60"/>
      <c r="B350" s="61"/>
      <c r="C350" s="62"/>
      <c r="D350" s="65"/>
      <c r="E350" s="98"/>
      <c r="F350" s="33"/>
      <c r="G350" s="42"/>
      <c r="H350" s="43"/>
      <c r="I350" s="43"/>
      <c r="J350" s="36"/>
      <c r="K350" s="37"/>
      <c r="L350" s="31"/>
      <c r="M350" s="72"/>
      <c r="N350" s="73"/>
      <c r="O350" s="74"/>
      <c r="P350" s="75"/>
      <c r="Q350" s="76"/>
      <c r="S350" s="121"/>
      <c r="T350" s="114"/>
      <c r="U350" s="12"/>
      <c r="V350" s="12"/>
      <c r="W350" s="19"/>
      <c r="X350" s="111"/>
    </row>
    <row r="351" spans="1:24" ht="12.75" hidden="1" outlineLevel="1">
      <c r="A351" s="60"/>
      <c r="B351" s="61"/>
      <c r="C351" s="62"/>
      <c r="D351" s="65"/>
      <c r="E351" s="98" t="s">
        <v>201</v>
      </c>
      <c r="F351" s="33">
        <f>+F343</f>
        <v>8</v>
      </c>
      <c r="G351" s="42" t="s">
        <v>35</v>
      </c>
      <c r="H351" s="43"/>
      <c r="I351" s="43"/>
      <c r="J351" s="36">
        <f>+J329</f>
        <v>0.5</v>
      </c>
      <c r="K351" s="37">
        <f aca="true" t="shared" si="27" ref="K351:K365">+IF(F351="item",J351,IF(F351&lt;&gt;0,F351*J351,""))</f>
        <v>4</v>
      </c>
      <c r="L351" s="31"/>
      <c r="M351" s="72"/>
      <c r="N351" s="73"/>
      <c r="O351" s="74"/>
      <c r="P351" s="75">
        <f aca="true" t="shared" si="28" ref="P351:P365">+IF(M351="item",O351,IF(M351&lt;&gt;0,M351*O351,""))</f>
      </c>
      <c r="Q351" s="76"/>
      <c r="S351" s="121"/>
      <c r="T351" s="114"/>
      <c r="U351" s="12"/>
      <c r="V351" s="12"/>
      <c r="W351" s="19"/>
      <c r="X351" s="111"/>
    </row>
    <row r="352" spans="1:24" ht="12.75" hidden="1" outlineLevel="1">
      <c r="A352" s="60"/>
      <c r="B352" s="61"/>
      <c r="C352" s="62"/>
      <c r="D352" s="65"/>
      <c r="E352" s="52"/>
      <c r="F352" s="33"/>
      <c r="G352" s="42"/>
      <c r="H352" s="43"/>
      <c r="I352" s="43"/>
      <c r="J352" s="36"/>
      <c r="K352" s="37">
        <f t="shared" si="27"/>
      </c>
      <c r="L352" s="31"/>
      <c r="M352" s="72"/>
      <c r="N352" s="73"/>
      <c r="O352" s="74"/>
      <c r="P352" s="75">
        <f t="shared" si="28"/>
      </c>
      <c r="Q352" s="76"/>
      <c r="S352" s="110"/>
      <c r="T352" s="12"/>
      <c r="U352" s="12"/>
      <c r="V352" s="12"/>
      <c r="W352" s="19"/>
      <c r="X352" s="111"/>
    </row>
    <row r="353" spans="1:24" ht="12.75" hidden="1" outlineLevel="1">
      <c r="A353" s="60"/>
      <c r="B353" s="61"/>
      <c r="C353" s="62"/>
      <c r="D353" s="65"/>
      <c r="E353" s="98" t="s">
        <v>177</v>
      </c>
      <c r="F353" s="33">
        <f>+F351</f>
        <v>8</v>
      </c>
      <c r="G353" s="42" t="s">
        <v>35</v>
      </c>
      <c r="H353" s="43">
        <v>0.15</v>
      </c>
      <c r="I353" s="43">
        <f>+iqadhesive</f>
        <v>9.450000000000001</v>
      </c>
      <c r="J353" s="36">
        <f>IF(+I353+H353&gt;0,I353+(H353*labour),"")</f>
        <v>13.950000000000001</v>
      </c>
      <c r="K353" s="37">
        <f t="shared" si="27"/>
        <v>111.60000000000001</v>
      </c>
      <c r="L353" s="31"/>
      <c r="M353" s="72"/>
      <c r="N353" s="73"/>
      <c r="O353" s="74"/>
      <c r="P353" s="75">
        <f t="shared" si="28"/>
      </c>
      <c r="Q353" s="76"/>
      <c r="S353" s="121"/>
      <c r="T353" s="114"/>
      <c r="U353" s="12"/>
      <c r="V353" s="12"/>
      <c r="W353" s="19"/>
      <c r="X353" s="111"/>
    </row>
    <row r="354" spans="1:24" ht="12.75" hidden="1" outlineLevel="1">
      <c r="A354" s="60"/>
      <c r="B354" s="61"/>
      <c r="C354" s="62"/>
      <c r="D354" s="65"/>
      <c r="E354" s="98"/>
      <c r="F354" s="33"/>
      <c r="G354" s="42"/>
      <c r="H354" s="43"/>
      <c r="I354" s="43"/>
      <c r="J354" s="36">
        <f>IF(+I354+H354&gt;0,I354+(H354*labour),"")</f>
      </c>
      <c r="K354" s="37">
        <f t="shared" si="27"/>
      </c>
      <c r="L354" s="31"/>
      <c r="M354" s="72"/>
      <c r="N354" s="73"/>
      <c r="O354" s="74"/>
      <c r="P354" s="75">
        <f t="shared" si="28"/>
      </c>
      <c r="Q354" s="76"/>
      <c r="S354" s="110"/>
      <c r="T354" s="12"/>
      <c r="U354" s="12"/>
      <c r="V354" s="12"/>
      <c r="W354" s="19"/>
      <c r="X354" s="111"/>
    </row>
    <row r="355" spans="1:24" ht="12.75" hidden="1" outlineLevel="1">
      <c r="A355" s="60"/>
      <c r="B355" s="61"/>
      <c r="C355" s="62"/>
      <c r="D355" s="65"/>
      <c r="E355" s="98" t="s">
        <v>182</v>
      </c>
      <c r="F355" s="33">
        <f>+F353</f>
        <v>8</v>
      </c>
      <c r="G355" s="42" t="s">
        <v>35</v>
      </c>
      <c r="H355" s="43">
        <v>0.25</v>
      </c>
      <c r="I355" s="43">
        <f>iqwedge</f>
        <v>67.96875</v>
      </c>
      <c r="J355" s="36">
        <f>IF(+I355+H355&gt;0,I355+(H355*labour),"")</f>
        <v>75.46875</v>
      </c>
      <c r="K355" s="37">
        <f t="shared" si="27"/>
        <v>603.75</v>
      </c>
      <c r="L355" s="31"/>
      <c r="M355" s="72"/>
      <c r="N355" s="73"/>
      <c r="O355" s="74"/>
      <c r="P355" s="75">
        <f t="shared" si="28"/>
      </c>
      <c r="Q355" s="76"/>
      <c r="S355" s="121"/>
      <c r="T355" s="114"/>
      <c r="U355" s="12"/>
      <c r="V355" s="12"/>
      <c r="W355" s="19"/>
      <c r="X355" s="111"/>
    </row>
    <row r="356" spans="1:24" ht="12.75" hidden="1" outlineLevel="1">
      <c r="A356" s="60"/>
      <c r="B356" s="61"/>
      <c r="C356" s="62"/>
      <c r="D356" s="65"/>
      <c r="E356" s="98"/>
      <c r="F356" s="33"/>
      <c r="G356" s="42"/>
      <c r="H356" s="43"/>
      <c r="I356" s="43"/>
      <c r="J356" s="36">
        <f>IF(+I356+H356&gt;0,I356+(H356*labour),"")</f>
      </c>
      <c r="K356" s="37">
        <f t="shared" si="27"/>
      </c>
      <c r="L356" s="31"/>
      <c r="M356" s="72"/>
      <c r="N356" s="73"/>
      <c r="O356" s="74"/>
      <c r="P356" s="75">
        <f t="shared" si="28"/>
      </c>
      <c r="Q356" s="76"/>
      <c r="S356" s="110"/>
      <c r="T356" s="12"/>
      <c r="U356" s="12"/>
      <c r="V356" s="12"/>
      <c r="W356" s="19"/>
      <c r="X356" s="111"/>
    </row>
    <row r="357" spans="1:24" ht="12.75" hidden="1" outlineLevel="1">
      <c r="A357" s="60"/>
      <c r="B357" s="61"/>
      <c r="C357" s="62"/>
      <c r="D357" s="65"/>
      <c r="E357" s="98" t="s">
        <v>217</v>
      </c>
      <c r="F357" s="33">
        <f>+F343</f>
        <v>8</v>
      </c>
      <c r="G357" s="42" t="s">
        <v>35</v>
      </c>
      <c r="H357" s="43">
        <v>1</v>
      </c>
      <c r="I357" s="43">
        <f>iqtop</f>
        <v>20.3</v>
      </c>
      <c r="J357" s="36">
        <f>IF(+I357+H357&gt;0,I357+(H357*labour),"")</f>
        <v>50.3</v>
      </c>
      <c r="K357" s="37">
        <f t="shared" si="27"/>
        <v>402.4</v>
      </c>
      <c r="L357" s="31"/>
      <c r="M357" s="72"/>
      <c r="N357" s="73"/>
      <c r="O357" s="74"/>
      <c r="P357" s="75">
        <f t="shared" si="28"/>
      </c>
      <c r="Q357" s="76"/>
      <c r="S357" s="121"/>
      <c r="T357" s="114"/>
      <c r="U357" s="12"/>
      <c r="V357" s="12"/>
      <c r="W357" s="19"/>
      <c r="X357" s="111"/>
    </row>
    <row r="358" spans="1:24" ht="12.75" hidden="1" outlineLevel="1">
      <c r="A358" s="60"/>
      <c r="B358" s="61"/>
      <c r="C358" s="62"/>
      <c r="D358" s="65"/>
      <c r="E358" s="98"/>
      <c r="F358" s="33"/>
      <c r="G358" s="42"/>
      <c r="H358" s="43"/>
      <c r="I358" s="43"/>
      <c r="J358" s="36"/>
      <c r="K358" s="37">
        <f t="shared" si="27"/>
      </c>
      <c r="L358" s="31"/>
      <c r="M358" s="72"/>
      <c r="N358" s="73"/>
      <c r="O358" s="74"/>
      <c r="P358" s="75">
        <f t="shared" si="28"/>
      </c>
      <c r="Q358" s="76"/>
      <c r="S358" s="110"/>
      <c r="T358" s="12"/>
      <c r="U358" s="12"/>
      <c r="V358" s="12"/>
      <c r="W358" s="19"/>
      <c r="X358" s="111"/>
    </row>
    <row r="359" spans="1:24" ht="12.75" hidden="1" outlineLevel="1">
      <c r="A359" s="60"/>
      <c r="B359" s="61"/>
      <c r="C359" s="62"/>
      <c r="D359" s="65"/>
      <c r="E359" s="98" t="s">
        <v>178</v>
      </c>
      <c r="F359" s="33">
        <f>+F343</f>
        <v>8</v>
      </c>
      <c r="G359" s="42" t="s">
        <v>35</v>
      </c>
      <c r="H359" s="43">
        <v>0.1</v>
      </c>
      <c r="I359" s="43">
        <f>+iqreinforce</f>
        <v>3.696</v>
      </c>
      <c r="J359" s="36">
        <f>IF(+I359+H359&gt;0,I359+(H359*labour),"")</f>
        <v>6.696</v>
      </c>
      <c r="K359" s="37">
        <f t="shared" si="27"/>
        <v>53.568</v>
      </c>
      <c r="L359" s="31"/>
      <c r="M359" s="72"/>
      <c r="N359" s="73"/>
      <c r="O359" s="74"/>
      <c r="P359" s="75">
        <f t="shared" si="28"/>
      </c>
      <c r="Q359" s="76"/>
      <c r="S359" s="121"/>
      <c r="T359" s="114"/>
      <c r="U359" s="12"/>
      <c r="V359" s="12"/>
      <c r="W359" s="19"/>
      <c r="X359" s="111"/>
    </row>
    <row r="360" spans="1:24" ht="12.75" hidden="1" outlineLevel="1">
      <c r="A360" s="60"/>
      <c r="B360" s="61"/>
      <c r="C360" s="62"/>
      <c r="D360" s="65"/>
      <c r="E360" s="98"/>
      <c r="F360" s="33"/>
      <c r="G360" s="42"/>
      <c r="H360" s="43"/>
      <c r="I360" s="43"/>
      <c r="J360" s="36"/>
      <c r="K360" s="37">
        <f t="shared" si="27"/>
      </c>
      <c r="L360" s="31"/>
      <c r="M360" s="72"/>
      <c r="N360" s="73"/>
      <c r="O360" s="74"/>
      <c r="P360" s="75">
        <f t="shared" si="28"/>
      </c>
      <c r="Q360" s="76"/>
      <c r="S360" s="110"/>
      <c r="T360" s="12"/>
      <c r="U360" s="12"/>
      <c r="V360" s="12"/>
      <c r="W360" s="19"/>
      <c r="X360" s="111"/>
    </row>
    <row r="361" spans="1:24" ht="12.75" hidden="1" outlineLevel="1">
      <c r="A361" s="60"/>
      <c r="B361" s="61"/>
      <c r="C361" s="62"/>
      <c r="D361" s="65"/>
      <c r="E361" s="98" t="s">
        <v>179</v>
      </c>
      <c r="F361" s="33">
        <f>+F343</f>
        <v>8</v>
      </c>
      <c r="G361" s="42" t="s">
        <v>35</v>
      </c>
      <c r="H361" s="43">
        <v>0.25</v>
      </c>
      <c r="I361" s="43">
        <f>+iqfinish</f>
        <v>5.6000000000000005</v>
      </c>
      <c r="J361" s="36">
        <f>IF(+I361+H361&gt;0,I361+(H361*labour),"")</f>
        <v>13.100000000000001</v>
      </c>
      <c r="K361" s="37">
        <f t="shared" si="27"/>
        <v>104.80000000000001</v>
      </c>
      <c r="L361" s="31"/>
      <c r="M361" s="72"/>
      <c r="N361" s="73"/>
      <c r="O361" s="74"/>
      <c r="P361" s="75">
        <f t="shared" si="28"/>
      </c>
      <c r="Q361" s="76"/>
      <c r="S361" s="121"/>
      <c r="T361" s="114"/>
      <c r="U361" s="12"/>
      <c r="V361" s="12"/>
      <c r="W361" s="19"/>
      <c r="X361" s="111"/>
    </row>
    <row r="362" spans="1:24" ht="12.75" hidden="1" outlineLevel="1">
      <c r="A362" s="60"/>
      <c r="B362" s="61"/>
      <c r="C362" s="62"/>
      <c r="D362" s="65"/>
      <c r="E362" s="44"/>
      <c r="F362" s="33"/>
      <c r="G362" s="42"/>
      <c r="H362" s="43"/>
      <c r="I362" s="43"/>
      <c r="J362" s="36"/>
      <c r="K362" s="37">
        <f t="shared" si="27"/>
      </c>
      <c r="L362" s="31"/>
      <c r="M362" s="72"/>
      <c r="N362" s="73"/>
      <c r="O362" s="74"/>
      <c r="P362" s="75">
        <f t="shared" si="28"/>
      </c>
      <c r="Q362" s="76"/>
      <c r="S362" s="110"/>
      <c r="T362" s="12"/>
      <c r="U362" s="12"/>
      <c r="V362" s="12"/>
      <c r="W362" s="19"/>
      <c r="X362" s="111"/>
    </row>
    <row r="363" spans="1:24" ht="12.75" hidden="1" outlineLevel="1">
      <c r="A363" s="60"/>
      <c r="B363" s="61"/>
      <c r="C363" s="62"/>
      <c r="D363" s="65"/>
      <c r="E363" s="52" t="s">
        <v>181</v>
      </c>
      <c r="F363" s="33"/>
      <c r="G363" s="42"/>
      <c r="H363" s="43"/>
      <c r="I363" s="43"/>
      <c r="J363" s="36"/>
      <c r="K363" s="37">
        <f t="shared" si="27"/>
      </c>
      <c r="L363" s="31"/>
      <c r="M363" s="72"/>
      <c r="N363" s="73"/>
      <c r="O363" s="74"/>
      <c r="P363" s="75">
        <f t="shared" si="28"/>
      </c>
      <c r="Q363" s="76"/>
      <c r="S363" s="110"/>
      <c r="T363" s="12"/>
      <c r="U363" s="12"/>
      <c r="V363" s="12"/>
      <c r="W363" s="19"/>
      <c r="X363" s="111"/>
    </row>
    <row r="364" spans="1:24" ht="12.75" hidden="1" outlineLevel="1">
      <c r="A364" s="60"/>
      <c r="B364" s="61"/>
      <c r="C364" s="62"/>
      <c r="D364" s="65"/>
      <c r="E364" s="44"/>
      <c r="F364" s="33"/>
      <c r="G364" s="42"/>
      <c r="H364" s="43"/>
      <c r="I364" s="43"/>
      <c r="J364" s="36"/>
      <c r="K364" s="37">
        <f t="shared" si="27"/>
      </c>
      <c r="L364" s="31"/>
      <c r="M364" s="72"/>
      <c r="N364" s="73"/>
      <c r="O364" s="74"/>
      <c r="P364" s="75">
        <f t="shared" si="28"/>
      </c>
      <c r="Q364" s="76"/>
      <c r="S364" s="110"/>
      <c r="T364" s="12"/>
      <c r="U364" s="12"/>
      <c r="V364" s="12"/>
      <c r="W364" s="19"/>
      <c r="X364" s="111"/>
    </row>
    <row r="365" spans="1:24" ht="12.75" hidden="1" outlineLevel="1">
      <c r="A365" s="60"/>
      <c r="B365" s="61"/>
      <c r="C365" s="62"/>
      <c r="D365" s="65"/>
      <c r="E365" s="98" t="s">
        <v>176</v>
      </c>
      <c r="F365" s="33">
        <f>ROUND(D380,0)</f>
        <v>4</v>
      </c>
      <c r="G365" s="42" t="s">
        <v>35</v>
      </c>
      <c r="H365" s="43"/>
      <c r="I365" s="43"/>
      <c r="J365" s="36">
        <f>+J343</f>
        <v>10.824</v>
      </c>
      <c r="K365" s="37">
        <f t="shared" si="27"/>
        <v>43.296</v>
      </c>
      <c r="L365" s="31"/>
      <c r="M365" s="72"/>
      <c r="N365" s="73"/>
      <c r="O365" s="74"/>
      <c r="P365" s="75">
        <f t="shared" si="28"/>
      </c>
      <c r="Q365" s="76"/>
      <c r="S365" s="121"/>
      <c r="T365" s="114"/>
      <c r="U365" s="12"/>
      <c r="V365" s="12"/>
      <c r="W365" s="19"/>
      <c r="X365" s="111"/>
    </row>
    <row r="366" spans="1:24" ht="12.75" hidden="1" outlineLevel="1">
      <c r="A366" s="60"/>
      <c r="B366" s="61"/>
      <c r="C366" s="135">
        <v>1.8</v>
      </c>
      <c r="D366" s="63">
        <f>+C366</f>
        <v>1.8</v>
      </c>
      <c r="E366" s="98"/>
      <c r="F366" s="33"/>
      <c r="G366" s="42"/>
      <c r="H366" s="43"/>
      <c r="I366" s="43"/>
      <c r="J366" s="36"/>
      <c r="K366" s="37"/>
      <c r="L366" s="31"/>
      <c r="M366" s="72"/>
      <c r="N366" s="73"/>
      <c r="O366" s="74"/>
      <c r="P366" s="75"/>
      <c r="Q366" s="76"/>
      <c r="S366" s="121"/>
      <c r="T366" s="114"/>
      <c r="U366" s="12"/>
      <c r="V366" s="12"/>
      <c r="W366" s="19"/>
      <c r="X366" s="111"/>
    </row>
    <row r="367" spans="1:24" ht="12.75" hidden="1" outlineLevel="1">
      <c r="A367" s="60"/>
      <c r="B367" s="61"/>
      <c r="C367" s="135">
        <v>1.5</v>
      </c>
      <c r="D367" s="63">
        <f aca="true" t="shared" si="29" ref="D367:D375">+C367</f>
        <v>1.5</v>
      </c>
      <c r="E367" s="98"/>
      <c r="F367" s="33"/>
      <c r="G367" s="42"/>
      <c r="H367" s="43"/>
      <c r="I367" s="43"/>
      <c r="J367" s="36"/>
      <c r="K367" s="37"/>
      <c r="L367" s="31"/>
      <c r="M367" s="72"/>
      <c r="N367" s="73"/>
      <c r="O367" s="74"/>
      <c r="P367" s="75"/>
      <c r="Q367" s="76"/>
      <c r="S367" s="121"/>
      <c r="T367" s="114"/>
      <c r="U367" s="12"/>
      <c r="V367" s="12"/>
      <c r="W367" s="19"/>
      <c r="X367" s="111"/>
    </row>
    <row r="368" spans="1:24" ht="12.75" hidden="1" outlineLevel="1">
      <c r="A368" s="60"/>
      <c r="B368" s="61">
        <v>4</v>
      </c>
      <c r="C368" s="156">
        <v>1.2</v>
      </c>
      <c r="D368" s="63">
        <f>+C368*B368</f>
        <v>4.8</v>
      </c>
      <c r="E368" s="98"/>
      <c r="F368" s="33"/>
      <c r="G368" s="42"/>
      <c r="H368" s="43"/>
      <c r="I368" s="43"/>
      <c r="J368" s="36"/>
      <c r="K368" s="37"/>
      <c r="L368" s="31"/>
      <c r="M368" s="72"/>
      <c r="N368" s="73"/>
      <c r="O368" s="74"/>
      <c r="P368" s="75"/>
      <c r="Q368" s="76"/>
      <c r="S368" s="121"/>
      <c r="T368" s="114"/>
      <c r="U368" s="12"/>
      <c r="V368" s="12"/>
      <c r="W368" s="19"/>
      <c r="X368" s="111"/>
    </row>
    <row r="369" spans="1:24" ht="12.75" hidden="1" outlineLevel="1">
      <c r="A369" s="60"/>
      <c r="B369" s="61">
        <v>4</v>
      </c>
      <c r="C369" s="135">
        <v>1.5</v>
      </c>
      <c r="D369" s="63">
        <f>+C369*B369</f>
        <v>6</v>
      </c>
      <c r="E369" s="98"/>
      <c r="F369" s="33"/>
      <c r="G369" s="42"/>
      <c r="H369" s="43"/>
      <c r="I369" s="43"/>
      <c r="J369" s="36"/>
      <c r="K369" s="37"/>
      <c r="L369" s="31"/>
      <c r="M369" s="72"/>
      <c r="N369" s="73"/>
      <c r="O369" s="74"/>
      <c r="P369" s="75"/>
      <c r="Q369" s="76"/>
      <c r="S369" s="121"/>
      <c r="T369" s="114"/>
      <c r="U369" s="12"/>
      <c r="V369" s="12"/>
      <c r="W369" s="19"/>
      <c r="X369" s="111"/>
    </row>
    <row r="370" spans="1:24" ht="12.75" hidden="1" outlineLevel="1">
      <c r="A370" s="60"/>
      <c r="B370" s="61"/>
      <c r="C370" s="156">
        <v>0.9</v>
      </c>
      <c r="D370" s="63">
        <f t="shared" si="29"/>
        <v>0.9</v>
      </c>
      <c r="E370" s="98"/>
      <c r="F370" s="33"/>
      <c r="G370" s="42"/>
      <c r="H370" s="43"/>
      <c r="I370" s="43"/>
      <c r="J370" s="36"/>
      <c r="K370" s="37"/>
      <c r="L370" s="31"/>
      <c r="M370" s="72"/>
      <c r="N370" s="73"/>
      <c r="O370" s="74"/>
      <c r="P370" s="75"/>
      <c r="Q370" s="76"/>
      <c r="S370" s="121"/>
      <c r="T370" s="114"/>
      <c r="U370" s="12"/>
      <c r="V370" s="12"/>
      <c r="W370" s="19"/>
      <c r="X370" s="111"/>
    </row>
    <row r="371" spans="1:24" ht="12.75" hidden="1" outlineLevel="1">
      <c r="A371" s="60"/>
      <c r="B371" s="61"/>
      <c r="C371" s="135">
        <v>0.9</v>
      </c>
      <c r="D371" s="63">
        <f t="shared" si="29"/>
        <v>0.9</v>
      </c>
      <c r="E371" s="98"/>
      <c r="F371" s="33"/>
      <c r="G371" s="42"/>
      <c r="H371" s="43"/>
      <c r="I371" s="43"/>
      <c r="J371" s="36"/>
      <c r="K371" s="37"/>
      <c r="L371" s="31"/>
      <c r="M371" s="72"/>
      <c r="N371" s="73"/>
      <c r="O371" s="74"/>
      <c r="P371" s="75"/>
      <c r="Q371" s="76"/>
      <c r="S371" s="121"/>
      <c r="T371" s="114"/>
      <c r="U371" s="12"/>
      <c r="V371" s="12"/>
      <c r="W371" s="19"/>
      <c r="X371" s="111"/>
    </row>
    <row r="372" spans="1:24" ht="12.75" hidden="1" outlineLevel="1">
      <c r="A372" s="60"/>
      <c r="B372" s="61"/>
      <c r="C372" s="156">
        <v>0.5</v>
      </c>
      <c r="D372" s="63">
        <f t="shared" si="29"/>
        <v>0.5</v>
      </c>
      <c r="E372" s="98"/>
      <c r="F372" s="33"/>
      <c r="G372" s="42"/>
      <c r="H372" s="43"/>
      <c r="I372" s="43"/>
      <c r="J372" s="36"/>
      <c r="K372" s="37"/>
      <c r="L372" s="31"/>
      <c r="M372" s="72"/>
      <c r="N372" s="73"/>
      <c r="O372" s="74"/>
      <c r="P372" s="75"/>
      <c r="Q372" s="76"/>
      <c r="S372" s="121"/>
      <c r="T372" s="114"/>
      <c r="U372" s="12"/>
      <c r="V372" s="12"/>
      <c r="W372" s="19"/>
      <c r="X372" s="111"/>
    </row>
    <row r="373" spans="1:24" ht="12.75" hidden="1" outlineLevel="1">
      <c r="A373" s="60"/>
      <c r="B373" s="61"/>
      <c r="C373" s="135">
        <v>0.9</v>
      </c>
      <c r="D373" s="63">
        <f t="shared" si="29"/>
        <v>0.9</v>
      </c>
      <c r="E373" s="98"/>
      <c r="F373" s="33"/>
      <c r="G373" s="42"/>
      <c r="H373" s="43"/>
      <c r="I373" s="43"/>
      <c r="J373" s="36"/>
      <c r="K373" s="37"/>
      <c r="L373" s="31"/>
      <c r="M373" s="72"/>
      <c r="N373" s="73"/>
      <c r="O373" s="74"/>
      <c r="P373" s="75"/>
      <c r="Q373" s="76"/>
      <c r="S373" s="121"/>
      <c r="T373" s="114"/>
      <c r="U373" s="12"/>
      <c r="V373" s="12"/>
      <c r="W373" s="19"/>
      <c r="X373" s="111"/>
    </row>
    <row r="374" spans="1:24" ht="12.75" hidden="1" outlineLevel="1">
      <c r="A374" s="60"/>
      <c r="B374" s="61"/>
      <c r="C374" s="156">
        <v>0.6</v>
      </c>
      <c r="D374" s="63">
        <f t="shared" si="29"/>
        <v>0.6</v>
      </c>
      <c r="E374" s="98"/>
      <c r="F374" s="33"/>
      <c r="G374" s="42"/>
      <c r="H374" s="43"/>
      <c r="I374" s="43"/>
      <c r="J374" s="36"/>
      <c r="K374" s="37"/>
      <c r="L374" s="31"/>
      <c r="M374" s="72"/>
      <c r="N374" s="73"/>
      <c r="O374" s="74"/>
      <c r="P374" s="75"/>
      <c r="Q374" s="76"/>
      <c r="S374" s="121"/>
      <c r="T374" s="114"/>
      <c r="U374" s="12"/>
      <c r="V374" s="12"/>
      <c r="W374" s="19"/>
      <c r="X374" s="111"/>
    </row>
    <row r="375" spans="1:24" ht="12.75" hidden="1" outlineLevel="1">
      <c r="A375" s="60"/>
      <c r="B375" s="61"/>
      <c r="C375" s="135">
        <v>1.5</v>
      </c>
      <c r="D375" s="63">
        <f t="shared" si="29"/>
        <v>1.5</v>
      </c>
      <c r="E375" s="98"/>
      <c r="F375" s="33"/>
      <c r="G375" s="42"/>
      <c r="H375" s="43"/>
      <c r="I375" s="43"/>
      <c r="J375" s="36"/>
      <c r="K375" s="37"/>
      <c r="L375" s="31"/>
      <c r="M375" s="72"/>
      <c r="N375" s="73"/>
      <c r="O375" s="74"/>
      <c r="P375" s="75"/>
      <c r="Q375" s="76"/>
      <c r="S375" s="121"/>
      <c r="T375" s="114"/>
      <c r="U375" s="12"/>
      <c r="V375" s="12"/>
      <c r="W375" s="19"/>
      <c r="X375" s="111"/>
    </row>
    <row r="376" spans="1:24" ht="12.75" hidden="1" outlineLevel="1">
      <c r="A376" s="60"/>
      <c r="B376" s="61">
        <v>2</v>
      </c>
      <c r="C376" s="156">
        <v>0.85</v>
      </c>
      <c r="D376" s="63">
        <f>+C376*B376</f>
        <v>1.7</v>
      </c>
      <c r="E376" s="98"/>
      <c r="F376" s="33"/>
      <c r="G376" s="42"/>
      <c r="H376" s="43"/>
      <c r="I376" s="43"/>
      <c r="J376" s="36"/>
      <c r="K376" s="37"/>
      <c r="L376" s="31"/>
      <c r="M376" s="72"/>
      <c r="N376" s="73"/>
      <c r="O376" s="74"/>
      <c r="P376" s="75"/>
      <c r="Q376" s="76"/>
      <c r="S376" s="121"/>
      <c r="T376" s="114"/>
      <c r="U376" s="12"/>
      <c r="V376" s="12"/>
      <c r="W376" s="19"/>
      <c r="X376" s="111"/>
    </row>
    <row r="377" spans="1:24" ht="12.75" hidden="1" outlineLevel="1">
      <c r="A377" s="60"/>
      <c r="B377" s="61">
        <v>2</v>
      </c>
      <c r="C377" s="135">
        <v>2.1</v>
      </c>
      <c r="D377" s="63">
        <f>+C377*B377</f>
        <v>4.2</v>
      </c>
      <c r="E377" s="98"/>
      <c r="F377" s="33"/>
      <c r="G377" s="42"/>
      <c r="H377" s="43"/>
      <c r="I377" s="43"/>
      <c r="J377" s="36"/>
      <c r="K377" s="37"/>
      <c r="L377" s="31"/>
      <c r="M377" s="72"/>
      <c r="N377" s="73"/>
      <c r="O377" s="74"/>
      <c r="P377" s="75"/>
      <c r="Q377" s="76"/>
      <c r="S377" s="121"/>
      <c r="T377" s="114"/>
      <c r="U377" s="12"/>
      <c r="V377" s="12"/>
      <c r="W377" s="19"/>
      <c r="X377" s="111"/>
    </row>
    <row r="378" spans="1:24" ht="12.75" hidden="1" outlineLevel="1">
      <c r="A378" s="60"/>
      <c r="B378" s="61"/>
      <c r="C378" s="62"/>
      <c r="D378" s="65"/>
      <c r="E378" s="98"/>
      <c r="F378" s="33"/>
      <c r="G378" s="42"/>
      <c r="H378" s="43"/>
      <c r="I378" s="43"/>
      <c r="J378" s="36"/>
      <c r="K378" s="37"/>
      <c r="L378" s="31"/>
      <c r="M378" s="72"/>
      <c r="N378" s="73"/>
      <c r="O378" s="74"/>
      <c r="P378" s="75"/>
      <c r="Q378" s="76"/>
      <c r="S378" s="121"/>
      <c r="T378" s="114"/>
      <c r="U378" s="12"/>
      <c r="V378" s="12"/>
      <c r="W378" s="19"/>
      <c r="X378" s="111"/>
    </row>
    <row r="379" spans="1:24" ht="12.75" hidden="1" outlineLevel="1">
      <c r="A379" s="60"/>
      <c r="B379" s="61"/>
      <c r="C379" s="62"/>
      <c r="D379" s="63">
        <f>SUM(D366:D378)</f>
        <v>25.299999999999997</v>
      </c>
      <c r="E379" s="98"/>
      <c r="F379" s="33"/>
      <c r="G379" s="42"/>
      <c r="H379" s="43"/>
      <c r="I379" s="43"/>
      <c r="J379" s="36"/>
      <c r="K379" s="37"/>
      <c r="L379" s="31"/>
      <c r="M379" s="72"/>
      <c r="N379" s="73"/>
      <c r="O379" s="74"/>
      <c r="P379" s="75"/>
      <c r="Q379" s="76"/>
      <c r="S379" s="121"/>
      <c r="T379" s="114"/>
      <c r="U379" s="12"/>
      <c r="V379" s="12"/>
      <c r="W379" s="19"/>
      <c r="X379" s="111"/>
    </row>
    <row r="380" spans="1:24" ht="12.75" hidden="1" outlineLevel="1">
      <c r="A380" s="60"/>
      <c r="B380" s="61" t="s">
        <v>337</v>
      </c>
      <c r="C380" s="62">
        <v>0.15</v>
      </c>
      <c r="D380" s="65">
        <f>+D379*C380</f>
        <v>3.7949999999999995</v>
      </c>
      <c r="E380" s="98"/>
      <c r="F380" s="33"/>
      <c r="G380" s="42"/>
      <c r="H380" s="43"/>
      <c r="I380" s="43"/>
      <c r="J380" s="36"/>
      <c r="K380" s="37"/>
      <c r="L380" s="31"/>
      <c r="M380" s="72"/>
      <c r="N380" s="73"/>
      <c r="O380" s="74"/>
      <c r="P380" s="75"/>
      <c r="Q380" s="76"/>
      <c r="S380" s="121"/>
      <c r="T380" s="114"/>
      <c r="U380" s="12"/>
      <c r="V380" s="12"/>
      <c r="W380" s="19"/>
      <c r="X380" s="111"/>
    </row>
    <row r="381" spans="1:24" ht="12.75" hidden="1" outlineLevel="1">
      <c r="A381" s="60"/>
      <c r="B381" s="61"/>
      <c r="C381" s="62"/>
      <c r="D381" s="65"/>
      <c r="E381" s="98"/>
      <c r="F381" s="33"/>
      <c r="G381" s="42"/>
      <c r="H381" s="43"/>
      <c r="I381" s="43"/>
      <c r="J381" s="36"/>
      <c r="K381" s="37"/>
      <c r="L381" s="31"/>
      <c r="M381" s="72"/>
      <c r="N381" s="73"/>
      <c r="O381" s="74"/>
      <c r="P381" s="75"/>
      <c r="Q381" s="76"/>
      <c r="S381" s="121"/>
      <c r="T381" s="114"/>
      <c r="U381" s="12"/>
      <c r="V381" s="12"/>
      <c r="W381" s="19"/>
      <c r="X381" s="111"/>
    </row>
    <row r="382" spans="1:24" ht="12.75" hidden="1" outlineLevel="1">
      <c r="A382" s="60"/>
      <c r="B382" s="61"/>
      <c r="C382" s="62"/>
      <c r="D382" s="65"/>
      <c r="E382" s="98" t="s">
        <v>201</v>
      </c>
      <c r="F382" s="33">
        <f>+F365</f>
        <v>4</v>
      </c>
      <c r="G382" s="42" t="s">
        <v>35</v>
      </c>
      <c r="H382" s="43"/>
      <c r="I382" s="43"/>
      <c r="J382" s="36">
        <f>+J351</f>
        <v>0.5</v>
      </c>
      <c r="K382" s="37">
        <f aca="true" t="shared" si="30" ref="K382:K392">+IF(F382="item",J382,IF(F382&lt;&gt;0,F382*J382,""))</f>
        <v>2</v>
      </c>
      <c r="L382" s="31"/>
      <c r="M382" s="72"/>
      <c r="N382" s="73"/>
      <c r="O382" s="74"/>
      <c r="P382" s="75">
        <f aca="true" t="shared" si="31" ref="P382:P394">+IF(M382="item",O382,IF(M382&lt;&gt;0,M382*O382,""))</f>
      </c>
      <c r="Q382" s="76"/>
      <c r="S382" s="121"/>
      <c r="T382" s="114"/>
      <c r="U382" s="12"/>
      <c r="V382" s="12"/>
      <c r="W382" s="19"/>
      <c r="X382" s="111"/>
    </row>
    <row r="383" spans="1:24" ht="12.75" hidden="1" outlineLevel="1">
      <c r="A383" s="60"/>
      <c r="B383" s="61"/>
      <c r="C383" s="62"/>
      <c r="D383" s="65"/>
      <c r="E383" s="52"/>
      <c r="F383" s="33"/>
      <c r="G383" s="42"/>
      <c r="H383" s="43"/>
      <c r="I383" s="43"/>
      <c r="J383" s="36"/>
      <c r="K383" s="37">
        <f t="shared" si="30"/>
      </c>
      <c r="L383" s="31"/>
      <c r="M383" s="72"/>
      <c r="N383" s="73"/>
      <c r="O383" s="74"/>
      <c r="P383" s="75">
        <f t="shared" si="31"/>
      </c>
      <c r="Q383" s="76"/>
      <c r="S383" s="110"/>
      <c r="T383" s="12"/>
      <c r="U383" s="12"/>
      <c r="V383" s="12"/>
      <c r="W383" s="19"/>
      <c r="X383" s="111"/>
    </row>
    <row r="384" spans="1:24" ht="12.75" hidden="1" outlineLevel="1">
      <c r="A384" s="60"/>
      <c r="B384" s="61"/>
      <c r="C384" s="62"/>
      <c r="D384" s="65"/>
      <c r="E384" s="98" t="s">
        <v>177</v>
      </c>
      <c r="F384" s="33">
        <f>+F382</f>
        <v>4</v>
      </c>
      <c r="G384" s="42" t="s">
        <v>35</v>
      </c>
      <c r="H384" s="43">
        <v>0.15</v>
      </c>
      <c r="I384" s="43">
        <f>+iqadhesive</f>
        <v>9.450000000000001</v>
      </c>
      <c r="J384" s="36">
        <f>IF(+I384+H384&gt;0,I384+(H384*labour),"")</f>
        <v>13.950000000000001</v>
      </c>
      <c r="K384" s="37">
        <f t="shared" si="30"/>
        <v>55.800000000000004</v>
      </c>
      <c r="L384" s="31"/>
      <c r="M384" s="72"/>
      <c r="N384" s="73"/>
      <c r="O384" s="74"/>
      <c r="P384" s="75">
        <f t="shared" si="31"/>
      </c>
      <c r="Q384" s="76"/>
      <c r="S384" s="121"/>
      <c r="T384" s="114"/>
      <c r="U384" s="12"/>
      <c r="V384" s="12"/>
      <c r="W384" s="19"/>
      <c r="X384" s="111"/>
    </row>
    <row r="385" spans="1:24" ht="12.75" hidden="1" outlineLevel="1">
      <c r="A385" s="60"/>
      <c r="B385" s="61"/>
      <c r="C385" s="62"/>
      <c r="D385" s="65"/>
      <c r="E385" s="98"/>
      <c r="F385" s="33"/>
      <c r="G385" s="42"/>
      <c r="H385" s="43"/>
      <c r="I385" s="43"/>
      <c r="J385" s="36">
        <f>IF(+I385+H385&gt;0,I385+(H385*labour),"")</f>
      </c>
      <c r="K385" s="37">
        <f t="shared" si="30"/>
      </c>
      <c r="L385" s="31"/>
      <c r="M385" s="72"/>
      <c r="N385" s="73"/>
      <c r="O385" s="74"/>
      <c r="P385" s="75">
        <f t="shared" si="31"/>
      </c>
      <c r="Q385" s="76"/>
      <c r="S385" s="110"/>
      <c r="T385" s="12"/>
      <c r="U385" s="12"/>
      <c r="V385" s="12"/>
      <c r="W385" s="19"/>
      <c r="X385" s="111"/>
    </row>
    <row r="386" spans="1:24" ht="12.75" hidden="1" outlineLevel="1">
      <c r="A386" s="60"/>
      <c r="B386" s="61"/>
      <c r="C386" s="62"/>
      <c r="D386" s="65"/>
      <c r="E386" s="98" t="s">
        <v>225</v>
      </c>
      <c r="F386" s="33">
        <f>+F384</f>
        <v>4</v>
      </c>
      <c r="G386" s="42" t="s">
        <v>35</v>
      </c>
      <c r="H386" s="43">
        <v>0.25</v>
      </c>
      <c r="I386" s="43">
        <f>iqreveal</f>
        <v>26.180555555555557</v>
      </c>
      <c r="J386" s="36">
        <f>IF(+I386+H386&gt;0,I386+(H386*labour),"")</f>
        <v>33.68055555555556</v>
      </c>
      <c r="K386" s="37">
        <f t="shared" si="30"/>
        <v>134.72222222222223</v>
      </c>
      <c r="L386" s="31"/>
      <c r="M386" s="72"/>
      <c r="N386" s="73"/>
      <c r="O386" s="74"/>
      <c r="P386" s="75">
        <f t="shared" si="31"/>
      </c>
      <c r="Q386" s="76"/>
      <c r="S386" s="121"/>
      <c r="T386" s="114"/>
      <c r="U386" s="12"/>
      <c r="V386" s="12"/>
      <c r="W386" s="19"/>
      <c r="X386" s="111"/>
    </row>
    <row r="387" spans="1:24" ht="12.75" hidden="1" outlineLevel="1">
      <c r="A387" s="60"/>
      <c r="B387" s="61"/>
      <c r="C387" s="62"/>
      <c r="D387" s="65"/>
      <c r="E387" s="98"/>
      <c r="F387" s="33"/>
      <c r="G387" s="42"/>
      <c r="H387" s="43"/>
      <c r="I387" s="43"/>
      <c r="J387" s="36">
        <f>IF(+I387+H387&gt;0,I387+(H387*labour),"")</f>
      </c>
      <c r="K387" s="37">
        <f t="shared" si="30"/>
      </c>
      <c r="L387" s="31"/>
      <c r="M387" s="72"/>
      <c r="N387" s="73"/>
      <c r="O387" s="74"/>
      <c r="P387" s="75">
        <f t="shared" si="31"/>
      </c>
      <c r="Q387" s="76"/>
      <c r="S387" s="110"/>
      <c r="T387" s="12"/>
      <c r="U387" s="12"/>
      <c r="V387" s="12"/>
      <c r="W387" s="19"/>
      <c r="X387" s="111"/>
    </row>
    <row r="388" spans="1:24" ht="12.75" hidden="1" outlineLevel="1">
      <c r="A388" s="60"/>
      <c r="B388" s="61"/>
      <c r="C388" s="62"/>
      <c r="D388" s="65"/>
      <c r="E388" s="98" t="s">
        <v>217</v>
      </c>
      <c r="F388" s="33">
        <f>+F365</f>
        <v>4</v>
      </c>
      <c r="G388" s="42" t="s">
        <v>35</v>
      </c>
      <c r="H388" s="43">
        <v>1</v>
      </c>
      <c r="I388" s="43">
        <f>iqtop</f>
        <v>20.3</v>
      </c>
      <c r="J388" s="36">
        <f>IF(+I388+H388&gt;0,I388+(H388*labour),"")</f>
        <v>50.3</v>
      </c>
      <c r="K388" s="37">
        <f t="shared" si="30"/>
        <v>201.2</v>
      </c>
      <c r="L388" s="31"/>
      <c r="M388" s="72"/>
      <c r="N388" s="73"/>
      <c r="O388" s="74"/>
      <c r="P388" s="75">
        <f t="shared" si="31"/>
      </c>
      <c r="Q388" s="76"/>
      <c r="S388" s="121"/>
      <c r="T388" s="114"/>
      <c r="U388" s="12"/>
      <c r="V388" s="12"/>
      <c r="W388" s="19"/>
      <c r="X388" s="111"/>
    </row>
    <row r="389" spans="1:24" ht="12.75" hidden="1" outlineLevel="1">
      <c r="A389" s="60"/>
      <c r="B389" s="61"/>
      <c r="C389" s="62"/>
      <c r="D389" s="65"/>
      <c r="E389" s="98"/>
      <c r="F389" s="33"/>
      <c r="G389" s="42"/>
      <c r="H389" s="43"/>
      <c r="I389" s="43"/>
      <c r="J389" s="36"/>
      <c r="K389" s="37">
        <f t="shared" si="30"/>
      </c>
      <c r="L389" s="31"/>
      <c r="M389" s="72"/>
      <c r="N389" s="73"/>
      <c r="O389" s="74"/>
      <c r="P389" s="75">
        <f t="shared" si="31"/>
      </c>
      <c r="Q389" s="76"/>
      <c r="S389" s="110"/>
      <c r="T389" s="12"/>
      <c r="U389" s="12"/>
      <c r="V389" s="12"/>
      <c r="W389" s="19"/>
      <c r="X389" s="111"/>
    </row>
    <row r="390" spans="1:24" ht="12.75" hidden="1" outlineLevel="1">
      <c r="A390" s="60"/>
      <c r="B390" s="61"/>
      <c r="C390" s="62"/>
      <c r="D390" s="65"/>
      <c r="E390" s="98" t="s">
        <v>178</v>
      </c>
      <c r="F390" s="33">
        <f>+F365</f>
        <v>4</v>
      </c>
      <c r="G390" s="42" t="s">
        <v>35</v>
      </c>
      <c r="H390" s="43">
        <v>0.1</v>
      </c>
      <c r="I390" s="43">
        <f>+iqreinforce</f>
        <v>3.696</v>
      </c>
      <c r="J390" s="36">
        <f>IF(+I390+H390&gt;0,I390+(H390*labour),"")</f>
        <v>6.696</v>
      </c>
      <c r="K390" s="37">
        <f t="shared" si="30"/>
        <v>26.784</v>
      </c>
      <c r="L390" s="31"/>
      <c r="M390" s="72"/>
      <c r="N390" s="73"/>
      <c r="O390" s="74"/>
      <c r="P390" s="75">
        <f t="shared" si="31"/>
      </c>
      <c r="Q390" s="76"/>
      <c r="S390" s="121"/>
      <c r="T390" s="114"/>
      <c r="U390" s="12"/>
      <c r="V390" s="12"/>
      <c r="W390" s="19"/>
      <c r="X390" s="111"/>
    </row>
    <row r="391" spans="1:24" ht="12.75" hidden="1" outlineLevel="1">
      <c r="A391" s="60"/>
      <c r="B391" s="61"/>
      <c r="C391" s="62"/>
      <c r="D391" s="65"/>
      <c r="E391" s="98"/>
      <c r="F391" s="33"/>
      <c r="G391" s="42"/>
      <c r="H391" s="43"/>
      <c r="I391" s="43"/>
      <c r="J391" s="36"/>
      <c r="K391" s="37">
        <f t="shared" si="30"/>
      </c>
      <c r="L391" s="31"/>
      <c r="M391" s="72"/>
      <c r="N391" s="73"/>
      <c r="O391" s="74"/>
      <c r="P391" s="75">
        <f t="shared" si="31"/>
      </c>
      <c r="Q391" s="76"/>
      <c r="S391" s="110"/>
      <c r="T391" s="12"/>
      <c r="U391" s="12"/>
      <c r="V391" s="12"/>
      <c r="W391" s="19"/>
      <c r="X391" s="111"/>
    </row>
    <row r="392" spans="1:24" ht="12.75" hidden="1" outlineLevel="1">
      <c r="A392" s="60"/>
      <c r="B392" s="61"/>
      <c r="C392" s="62"/>
      <c r="D392" s="65"/>
      <c r="E392" s="98" t="s">
        <v>179</v>
      </c>
      <c r="F392" s="33">
        <f>+F365</f>
        <v>4</v>
      </c>
      <c r="G392" s="42" t="s">
        <v>35</v>
      </c>
      <c r="H392" s="43">
        <v>0.25</v>
      </c>
      <c r="I392" s="43">
        <f>+iqfinish</f>
        <v>5.6000000000000005</v>
      </c>
      <c r="J392" s="36">
        <f>IF(+I392+H392&gt;0,I392+(H392*labour),"")</f>
        <v>13.100000000000001</v>
      </c>
      <c r="K392" s="37">
        <f t="shared" si="30"/>
        <v>52.400000000000006</v>
      </c>
      <c r="L392" s="31"/>
      <c r="M392" s="72"/>
      <c r="N392" s="73"/>
      <c r="O392" s="74"/>
      <c r="P392" s="75">
        <f t="shared" si="31"/>
      </c>
      <c r="Q392" s="76"/>
      <c r="S392" s="121"/>
      <c r="T392" s="114"/>
      <c r="U392" s="12"/>
      <c r="V392" s="12"/>
      <c r="W392" s="19"/>
      <c r="X392" s="111"/>
    </row>
    <row r="393" spans="1:24" ht="12.75" hidden="1" outlineLevel="1">
      <c r="A393" s="60"/>
      <c r="B393" s="61"/>
      <c r="C393" s="62"/>
      <c r="D393" s="65"/>
      <c r="E393" s="44"/>
      <c r="F393" s="33"/>
      <c r="G393" s="42"/>
      <c r="H393" s="43"/>
      <c r="I393" s="43"/>
      <c r="J393" s="36"/>
      <c r="K393" s="37"/>
      <c r="L393" s="31"/>
      <c r="M393" s="72"/>
      <c r="N393" s="73"/>
      <c r="O393" s="74"/>
      <c r="P393" s="75">
        <f t="shared" si="31"/>
      </c>
      <c r="Q393" s="76"/>
      <c r="S393" s="110"/>
      <c r="T393" s="12"/>
      <c r="U393" s="12"/>
      <c r="V393" s="12"/>
      <c r="W393" s="19"/>
      <c r="X393" s="111"/>
    </row>
    <row r="394" spans="1:24" ht="12.75" hidden="1" outlineLevel="1">
      <c r="A394" s="60"/>
      <c r="B394" s="61"/>
      <c r="C394" s="62"/>
      <c r="D394" s="65"/>
      <c r="E394" s="44" t="s">
        <v>185</v>
      </c>
      <c r="F394" s="33">
        <f>ROUND(D400,0)</f>
        <v>72</v>
      </c>
      <c r="G394" s="42" t="s">
        <v>108</v>
      </c>
      <c r="H394" s="43"/>
      <c r="I394" s="43"/>
      <c r="J394" s="36">
        <v>1.38</v>
      </c>
      <c r="K394" s="37">
        <f>+IF(F394="item",J394,IF(F394&lt;&gt;0,F394*J394,""))</f>
        <v>99.35999999999999</v>
      </c>
      <c r="L394" s="31" t="s">
        <v>188</v>
      </c>
      <c r="M394" s="72"/>
      <c r="N394" s="73"/>
      <c r="O394" s="74"/>
      <c r="P394" s="75">
        <f t="shared" si="31"/>
      </c>
      <c r="Q394" s="76"/>
      <c r="S394" s="121"/>
      <c r="T394" s="114"/>
      <c r="U394" s="12"/>
      <c r="V394" s="12"/>
      <c r="W394" s="19"/>
      <c r="X394" s="111"/>
    </row>
    <row r="395" spans="1:24" ht="12.75" hidden="1" outlineLevel="1">
      <c r="A395" s="60">
        <v>2</v>
      </c>
      <c r="B395" s="61">
        <v>2</v>
      </c>
      <c r="C395" s="135">
        <v>11.3</v>
      </c>
      <c r="D395" s="63">
        <f>+C395*B395*A395</f>
        <v>45.2</v>
      </c>
      <c r="E395" s="44"/>
      <c r="F395" s="33"/>
      <c r="G395" s="42"/>
      <c r="H395" s="43"/>
      <c r="I395" s="43"/>
      <c r="J395" s="36"/>
      <c r="K395" s="37"/>
      <c r="L395" s="31"/>
      <c r="M395" s="72"/>
      <c r="N395" s="73"/>
      <c r="O395" s="74"/>
      <c r="P395" s="75"/>
      <c r="Q395" s="76"/>
      <c r="S395" s="121"/>
      <c r="T395" s="114"/>
      <c r="U395" s="12"/>
      <c r="V395" s="12"/>
      <c r="W395" s="19"/>
      <c r="X395" s="111"/>
    </row>
    <row r="396" spans="1:24" ht="12.75" hidden="1" outlineLevel="1">
      <c r="A396" s="60">
        <v>2</v>
      </c>
      <c r="B396" s="61">
        <v>2</v>
      </c>
      <c r="C396" s="156">
        <v>4.6</v>
      </c>
      <c r="D396" s="63">
        <f>+C396*B396*A396</f>
        <v>18.4</v>
      </c>
      <c r="E396" s="44"/>
      <c r="F396" s="33"/>
      <c r="G396" s="42"/>
      <c r="H396" s="43"/>
      <c r="I396" s="43"/>
      <c r="J396" s="36"/>
      <c r="K396" s="37"/>
      <c r="L396" s="31"/>
      <c r="M396" s="72"/>
      <c r="N396" s="73"/>
      <c r="O396" s="74"/>
      <c r="P396" s="75"/>
      <c r="Q396" s="76"/>
      <c r="S396" s="121"/>
      <c r="T396" s="114"/>
      <c r="U396" s="12"/>
      <c r="V396" s="12"/>
      <c r="W396" s="19"/>
      <c r="X396" s="111"/>
    </row>
    <row r="397" spans="1:24" ht="12.75" hidden="1" outlineLevel="1">
      <c r="A397" s="60"/>
      <c r="B397" s="61">
        <v>2</v>
      </c>
      <c r="C397" s="156">
        <v>1.9</v>
      </c>
      <c r="D397" s="63">
        <f>+C397*B397</f>
        <v>3.8</v>
      </c>
      <c r="E397" s="44"/>
      <c r="F397" s="33"/>
      <c r="G397" s="42"/>
      <c r="H397" s="43"/>
      <c r="I397" s="43"/>
      <c r="J397" s="36"/>
      <c r="K397" s="37"/>
      <c r="L397" s="31"/>
      <c r="M397" s="72"/>
      <c r="N397" s="73"/>
      <c r="O397" s="74"/>
      <c r="P397" s="75"/>
      <c r="Q397" s="76"/>
      <c r="S397" s="121"/>
      <c r="T397" s="114"/>
      <c r="U397" s="12"/>
      <c r="V397" s="12"/>
      <c r="W397" s="19"/>
      <c r="X397" s="111"/>
    </row>
    <row r="398" spans="1:24" ht="12.75" hidden="1" outlineLevel="1">
      <c r="A398" s="60"/>
      <c r="B398" s="61">
        <v>1</v>
      </c>
      <c r="C398" s="156">
        <v>4.2</v>
      </c>
      <c r="D398" s="63">
        <f>+C398*B398</f>
        <v>4.2</v>
      </c>
      <c r="E398" s="44"/>
      <c r="F398" s="33"/>
      <c r="G398" s="42"/>
      <c r="H398" s="43"/>
      <c r="I398" s="43"/>
      <c r="J398" s="36"/>
      <c r="K398" s="37"/>
      <c r="L398" s="31"/>
      <c r="M398" s="72"/>
      <c r="N398" s="73"/>
      <c r="O398" s="74"/>
      <c r="P398" s="75"/>
      <c r="Q398" s="76"/>
      <c r="S398" s="121"/>
      <c r="T398" s="114"/>
      <c r="U398" s="12"/>
      <c r="V398" s="12"/>
      <c r="W398" s="19"/>
      <c r="X398" s="111"/>
    </row>
    <row r="399" spans="1:24" ht="12.75" hidden="1" outlineLevel="1">
      <c r="A399" s="60"/>
      <c r="B399" s="61"/>
      <c r="C399" s="62"/>
      <c r="D399" s="65"/>
      <c r="E399" s="44"/>
      <c r="F399" s="33"/>
      <c r="G399" s="42"/>
      <c r="H399" s="43"/>
      <c r="I399" s="43"/>
      <c r="J399" s="36"/>
      <c r="K399" s="37"/>
      <c r="L399" s="31"/>
      <c r="M399" s="72"/>
      <c r="N399" s="73"/>
      <c r="O399" s="74"/>
      <c r="P399" s="75"/>
      <c r="Q399" s="76"/>
      <c r="S399" s="121"/>
      <c r="T399" s="114"/>
      <c r="U399" s="12"/>
      <c r="V399" s="12"/>
      <c r="W399" s="19"/>
      <c r="X399" s="111"/>
    </row>
    <row r="400" spans="1:24" ht="12.75" hidden="1" outlineLevel="1">
      <c r="A400" s="60"/>
      <c r="B400" s="61"/>
      <c r="C400" s="62"/>
      <c r="D400" s="65">
        <f>SUM(D395:D399)</f>
        <v>71.60000000000001</v>
      </c>
      <c r="E400" s="44"/>
      <c r="F400" s="33"/>
      <c r="G400" s="42"/>
      <c r="H400" s="43"/>
      <c r="I400" s="43"/>
      <c r="J400" s="36"/>
      <c r="K400" s="37"/>
      <c r="L400" s="31"/>
      <c r="M400" s="72"/>
      <c r="N400" s="73"/>
      <c r="O400" s="74"/>
      <c r="P400" s="75"/>
      <c r="Q400" s="76"/>
      <c r="S400" s="121"/>
      <c r="T400" s="114"/>
      <c r="U400" s="12"/>
      <c r="V400" s="12"/>
      <c r="W400" s="19"/>
      <c r="X400" s="111"/>
    </row>
    <row r="401" spans="1:24" ht="12.75" hidden="1" outlineLevel="1">
      <c r="A401" s="60"/>
      <c r="B401" s="61"/>
      <c r="C401" s="62"/>
      <c r="D401" s="65"/>
      <c r="E401" s="44"/>
      <c r="F401" s="33"/>
      <c r="G401" s="42"/>
      <c r="H401" s="43"/>
      <c r="I401" s="43"/>
      <c r="J401" s="36"/>
      <c r="K401" s="37"/>
      <c r="L401" s="31"/>
      <c r="M401" s="72"/>
      <c r="N401" s="73"/>
      <c r="O401" s="74"/>
      <c r="P401" s="75"/>
      <c r="Q401" s="76"/>
      <c r="S401" s="121"/>
      <c r="T401" s="114"/>
      <c r="U401" s="12"/>
      <c r="V401" s="12"/>
      <c r="W401" s="19"/>
      <c r="X401" s="111"/>
    </row>
    <row r="402" spans="1:24" ht="12.75" hidden="1" outlineLevel="1">
      <c r="A402" s="60"/>
      <c r="B402" s="61"/>
      <c r="C402" s="62"/>
      <c r="D402" s="65"/>
      <c r="E402" s="44"/>
      <c r="F402" s="33"/>
      <c r="G402" s="42"/>
      <c r="H402" s="43"/>
      <c r="I402" s="43"/>
      <c r="J402" s="36"/>
      <c r="K402" s="37">
        <f>+IF(F402="item",J402,IF(F402&lt;&gt;0,F402*J402,""))</f>
      </c>
      <c r="L402" s="31"/>
      <c r="M402" s="72"/>
      <c r="N402" s="73"/>
      <c r="O402" s="74"/>
      <c r="P402" s="75">
        <f>+IF(M402="item",O402,IF(M402&lt;&gt;0,M402*O402,""))</f>
      </c>
      <c r="Q402" s="76"/>
      <c r="S402" s="110"/>
      <c r="T402" s="12"/>
      <c r="U402" s="12"/>
      <c r="V402" s="12"/>
      <c r="W402" s="19"/>
      <c r="X402" s="111"/>
    </row>
    <row r="403" spans="1:24" ht="12.75" hidden="1" outlineLevel="1">
      <c r="A403" s="60"/>
      <c r="B403" s="61"/>
      <c r="C403" s="62"/>
      <c r="D403" s="65"/>
      <c r="E403" s="44" t="s">
        <v>186</v>
      </c>
      <c r="F403" s="33">
        <f>+F394</f>
        <v>72</v>
      </c>
      <c r="G403" s="42" t="s">
        <v>108</v>
      </c>
      <c r="H403" s="43"/>
      <c r="I403" s="43"/>
      <c r="J403" s="36">
        <v>3.29</v>
      </c>
      <c r="K403" s="37">
        <f>+IF(F403="item",J403,IF(F403&lt;&gt;0,F403*J403,""))</f>
        <v>236.88</v>
      </c>
      <c r="L403" s="31" t="s">
        <v>187</v>
      </c>
      <c r="M403" s="72"/>
      <c r="N403" s="73"/>
      <c r="O403" s="74"/>
      <c r="P403" s="75">
        <f>+IF(M403="item",O403,IF(M403&lt;&gt;0,M403*O403,""))</f>
      </c>
      <c r="Q403" s="76"/>
      <c r="S403" s="121"/>
      <c r="T403" s="114"/>
      <c r="U403" s="12"/>
      <c r="V403" s="12"/>
      <c r="W403" s="19"/>
      <c r="X403" s="111"/>
    </row>
    <row r="404" spans="1:24" ht="12.75" hidden="1" outlineLevel="1">
      <c r="A404" s="60"/>
      <c r="B404" s="61"/>
      <c r="C404" s="62"/>
      <c r="D404" s="65"/>
      <c r="E404" s="44"/>
      <c r="F404" s="33"/>
      <c r="G404" s="42"/>
      <c r="H404" s="43"/>
      <c r="I404" s="43"/>
      <c r="J404" s="36"/>
      <c r="K404" s="37">
        <f>+IF(F404="item",J404,IF(F404&lt;&gt;0,F404*J404,""))</f>
      </c>
      <c r="L404" s="31"/>
      <c r="M404" s="72"/>
      <c r="N404" s="73"/>
      <c r="O404" s="74"/>
      <c r="P404" s="75">
        <f>+IF(M404="item",O404,IF(M404&lt;&gt;0,M404*O404,""))</f>
      </c>
      <c r="Q404" s="76"/>
      <c r="S404" s="110"/>
      <c r="T404" s="12"/>
      <c r="U404" s="12"/>
      <c r="V404" s="12"/>
      <c r="W404" s="19"/>
      <c r="X404" s="111"/>
    </row>
    <row r="405" spans="1:24" ht="12.75" hidden="1" outlineLevel="1">
      <c r="A405" s="60"/>
      <c r="B405" s="61"/>
      <c r="C405" s="62"/>
      <c r="D405" s="65"/>
      <c r="E405" s="44" t="s">
        <v>189</v>
      </c>
      <c r="F405" s="33" t="s">
        <v>1</v>
      </c>
      <c r="G405" s="42"/>
      <c r="H405" s="43">
        <v>2</v>
      </c>
      <c r="I405" s="43">
        <v>50</v>
      </c>
      <c r="J405" s="36">
        <f>IF(+I405+H405&gt;0,I405+(H405*labour),"")</f>
        <v>110</v>
      </c>
      <c r="K405" s="37">
        <f>+IF(F405="item",J405,IF(F405&lt;&gt;0,F405*J405,""))</f>
        <v>110</v>
      </c>
      <c r="L405" s="31"/>
      <c r="M405" s="72"/>
      <c r="N405" s="73"/>
      <c r="O405" s="74"/>
      <c r="P405" s="75">
        <f>+IF(M405="item",O405,IF(M405&lt;&gt;0,M405*O405,""))</f>
      </c>
      <c r="Q405" s="76"/>
      <c r="S405" s="121"/>
      <c r="T405" s="114"/>
      <c r="U405" s="12"/>
      <c r="V405" s="12"/>
      <c r="W405" s="19"/>
      <c r="X405" s="111"/>
    </row>
    <row r="406" spans="1:24" ht="12.75" hidden="1" outlineLevel="1">
      <c r="A406" s="60"/>
      <c r="B406" s="61"/>
      <c r="C406" s="62"/>
      <c r="D406" s="65"/>
      <c r="E406" s="44"/>
      <c r="F406" s="33"/>
      <c r="G406" s="42"/>
      <c r="H406" s="43"/>
      <c r="I406" s="43"/>
      <c r="J406" s="36">
        <f>IF(+I406+H406&gt;0,I406+(H406*labour),"")</f>
      </c>
      <c r="K406" s="37">
        <f>+IF(F406="item",J406,IF(F406&lt;&gt;0,F406*J406,""))</f>
      </c>
      <c r="L406" s="31"/>
      <c r="M406" s="72"/>
      <c r="N406" s="73"/>
      <c r="O406" s="74"/>
      <c r="P406" s="75">
        <f>+IF(M406="item",O406,IF(M406&lt;&gt;0,M406*O406,""))</f>
      </c>
      <c r="Q406" s="76"/>
      <c r="S406" s="110"/>
      <c r="T406" s="12"/>
      <c r="U406" s="12"/>
      <c r="V406" s="12"/>
      <c r="W406" s="19"/>
      <c r="X406" s="111"/>
    </row>
    <row r="407" spans="1:24" ht="12.75" hidden="1" outlineLevel="1">
      <c r="A407" s="60"/>
      <c r="B407" s="61"/>
      <c r="C407" s="62"/>
      <c r="D407" s="65"/>
      <c r="E407" s="38" t="s">
        <v>362</v>
      </c>
      <c r="F407" s="33">
        <v>10</v>
      </c>
      <c r="G407" s="34" t="s">
        <v>363</v>
      </c>
      <c r="H407" s="39"/>
      <c r="I407" s="39"/>
      <c r="J407" s="36">
        <f>SUM(K296:K406)</f>
        <v>27695.048333333332</v>
      </c>
      <c r="K407" s="37">
        <f>+J407*F407%</f>
        <v>2769.5048333333334</v>
      </c>
      <c r="L407" s="31"/>
      <c r="M407" s="72"/>
      <c r="N407" s="73"/>
      <c r="O407" s="74"/>
      <c r="P407" s="75"/>
      <c r="Q407" s="76"/>
      <c r="S407" s="121"/>
      <c r="T407" s="114"/>
      <c r="U407" s="12"/>
      <c r="V407" s="12"/>
      <c r="W407" s="19"/>
      <c r="X407" s="111"/>
    </row>
    <row r="408" spans="1:24" ht="12.75" collapsed="1">
      <c r="A408" s="60"/>
      <c r="B408" s="61"/>
      <c r="C408" s="62"/>
      <c r="D408" s="65"/>
      <c r="E408" s="44"/>
      <c r="F408" s="33"/>
      <c r="G408" s="42"/>
      <c r="H408" s="43"/>
      <c r="I408" s="43"/>
      <c r="J408" s="36">
        <f>IF(+I408+H408&gt;0,I408+(H408*labour),"")</f>
      </c>
      <c r="K408" s="37">
        <f>+IF(F408="item",J408,IF(F408&lt;&gt;0,F408*J408,""))</f>
      </c>
      <c r="L408" s="31"/>
      <c r="M408" s="72"/>
      <c r="N408" s="73"/>
      <c r="O408" s="74"/>
      <c r="P408" s="75">
        <f>+IF(M408="item",O408,IF(M408&lt;&gt;0,M408*O408,""))</f>
      </c>
      <c r="Q408" s="76"/>
      <c r="S408" s="110"/>
      <c r="T408" s="12"/>
      <c r="U408" s="12"/>
      <c r="V408" s="12"/>
      <c r="W408" s="19"/>
      <c r="X408" s="111"/>
    </row>
    <row r="409" spans="1:24" ht="12.75">
      <c r="A409" s="60"/>
      <c r="B409" s="61"/>
      <c r="C409" s="62"/>
      <c r="D409" s="65"/>
      <c r="E409" s="77"/>
      <c r="F409" s="33"/>
      <c r="G409" s="42"/>
      <c r="H409" s="43"/>
      <c r="I409" s="43"/>
      <c r="J409" s="36"/>
      <c r="K409" s="37">
        <f>+IF(F409="item",J409,IF(F409&lt;&gt;0,F409*J409,""))</f>
      </c>
      <c r="L409" s="31"/>
      <c r="M409" s="33"/>
      <c r="N409" s="42"/>
      <c r="O409" s="36"/>
      <c r="P409" s="37"/>
      <c r="Q409" s="54"/>
      <c r="S409" s="110"/>
      <c r="T409" s="12"/>
      <c r="U409" s="12"/>
      <c r="V409" s="12"/>
      <c r="W409" s="19"/>
      <c r="X409" s="111"/>
    </row>
    <row r="410" spans="1:24" ht="15.75">
      <c r="A410" s="60"/>
      <c r="B410" s="61"/>
      <c r="C410" s="64"/>
      <c r="D410" s="63"/>
      <c r="E410" s="78" t="s">
        <v>144</v>
      </c>
      <c r="F410" s="79"/>
      <c r="G410" s="80"/>
      <c r="H410" s="81"/>
      <c r="I410" s="81"/>
      <c r="J410" s="82">
        <f>IF(+I410+H410&gt;0,I410+(H410*labour),"")</f>
      </c>
      <c r="K410" s="83">
        <f>+IF(F410="item",J410,IF(F410&lt;&gt;0,F410*J410,""))</f>
      </c>
      <c r="L410" s="84"/>
      <c r="M410" s="79"/>
      <c r="N410" s="80"/>
      <c r="O410" s="82"/>
      <c r="P410" s="83">
        <f>+IF(M410="item",O410,IF(M410&lt;&gt;0,M410*O410,""))</f>
      </c>
      <c r="Q410" s="85"/>
      <c r="R410" s="89"/>
      <c r="S410" s="117"/>
      <c r="T410" s="118"/>
      <c r="U410" s="118"/>
      <c r="V410" s="118"/>
      <c r="W410" s="119"/>
      <c r="X410" s="120"/>
    </row>
    <row r="411" spans="1:24" ht="12.75">
      <c r="A411" s="60"/>
      <c r="B411" s="61"/>
      <c r="C411" s="62"/>
      <c r="D411" s="65"/>
      <c r="E411" s="77"/>
      <c r="F411" s="33"/>
      <c r="G411" s="42"/>
      <c r="H411" s="43"/>
      <c r="I411" s="43"/>
      <c r="J411" s="36"/>
      <c r="K411" s="37">
        <f>+IF(F411="item",J411,IF(F411&lt;&gt;0,F411*J411,""))</f>
      </c>
      <c r="L411" s="31"/>
      <c r="M411" s="33"/>
      <c r="N411" s="42"/>
      <c r="O411" s="36"/>
      <c r="P411" s="37"/>
      <c r="Q411" s="54"/>
      <c r="S411" s="110"/>
      <c r="T411" s="12"/>
      <c r="U411" s="12"/>
      <c r="V411" s="12"/>
      <c r="W411" s="19"/>
      <c r="X411" s="111"/>
    </row>
    <row r="412" spans="1:24" ht="25.5">
      <c r="A412" s="60"/>
      <c r="B412" s="61"/>
      <c r="C412" s="62"/>
      <c r="D412" s="65"/>
      <c r="E412" s="77" t="s">
        <v>145</v>
      </c>
      <c r="F412" s="33"/>
      <c r="G412" s="42"/>
      <c r="H412" s="43"/>
      <c r="I412" s="43"/>
      <c r="J412" s="36"/>
      <c r="K412" s="53">
        <f>SUM(K413:K417)</f>
        <v>765.842</v>
      </c>
      <c r="L412" s="31" t="s">
        <v>365</v>
      </c>
      <c r="M412" s="72"/>
      <c r="N412" s="73"/>
      <c r="O412" s="74"/>
      <c r="P412" s="75"/>
      <c r="Q412" s="76"/>
      <c r="S412" s="110"/>
      <c r="T412" s="12"/>
      <c r="U412" s="12"/>
      <c r="V412" s="12"/>
      <c r="W412" s="19"/>
      <c r="X412" s="111"/>
    </row>
    <row r="413" spans="1:24" ht="12.75">
      <c r="A413" s="60"/>
      <c r="B413" s="61"/>
      <c r="C413" s="62"/>
      <c r="D413" s="65"/>
      <c r="E413" s="77"/>
      <c r="F413" s="33"/>
      <c r="G413" s="42"/>
      <c r="H413" s="43"/>
      <c r="I413" s="43"/>
      <c r="J413" s="36"/>
      <c r="K413" s="37">
        <f>+IF(F413="item",J413,IF(F413&lt;&gt;0,F413*J413,""))</f>
      </c>
      <c r="L413" s="31"/>
      <c r="M413" s="72"/>
      <c r="N413" s="73"/>
      <c r="O413" s="74"/>
      <c r="P413" s="75"/>
      <c r="Q413" s="76"/>
      <c r="S413" s="110"/>
      <c r="T413" s="12"/>
      <c r="U413" s="12"/>
      <c r="V413" s="12"/>
      <c r="W413" s="19"/>
      <c r="X413" s="111"/>
    </row>
    <row r="414" spans="1:24" ht="12.75" hidden="1" outlineLevel="1">
      <c r="A414" s="60"/>
      <c r="B414" s="61"/>
      <c r="C414" s="62"/>
      <c r="D414" s="65"/>
      <c r="E414" s="44" t="s">
        <v>305</v>
      </c>
      <c r="F414" s="33" t="s">
        <v>1</v>
      </c>
      <c r="G414" s="42"/>
      <c r="H414" s="43"/>
      <c r="I414" s="43"/>
      <c r="J414" s="36">
        <f>+passivent17C</f>
        <v>465.842</v>
      </c>
      <c r="K414" s="37">
        <f>+IF(F414="item",J414,IF(F414&lt;&gt;0,F414*J414,""))</f>
        <v>465.842</v>
      </c>
      <c r="L414" s="31"/>
      <c r="M414" s="72"/>
      <c r="N414" s="73"/>
      <c r="O414" s="74"/>
      <c r="P414" s="75"/>
      <c r="Q414" s="76"/>
      <c r="S414" s="110"/>
      <c r="T414" s="12"/>
      <c r="U414" s="12"/>
      <c r="V414" s="12"/>
      <c r="W414" s="19"/>
      <c r="X414" s="111"/>
    </row>
    <row r="415" spans="1:24" ht="12.75" hidden="1" outlineLevel="1">
      <c r="A415" s="60"/>
      <c r="B415" s="61"/>
      <c r="C415" s="62"/>
      <c r="D415" s="65"/>
      <c r="E415" s="77"/>
      <c r="F415" s="33"/>
      <c r="G415" s="42"/>
      <c r="H415" s="43"/>
      <c r="I415" s="43"/>
      <c r="J415" s="36"/>
      <c r="K415" s="37">
        <f>+IF(F415="item",J415,IF(F415&lt;&gt;0,F415*J415,""))</f>
      </c>
      <c r="L415" s="31"/>
      <c r="M415" s="72"/>
      <c r="N415" s="73"/>
      <c r="O415" s="74"/>
      <c r="P415" s="75"/>
      <c r="Q415" s="76"/>
      <c r="S415" s="110"/>
      <c r="T415" s="12"/>
      <c r="U415" s="12"/>
      <c r="V415" s="12"/>
      <c r="W415" s="19"/>
      <c r="X415" s="111"/>
    </row>
    <row r="416" spans="1:24" ht="12.75" hidden="1" outlineLevel="1">
      <c r="A416" s="60"/>
      <c r="B416" s="61"/>
      <c r="C416" s="62"/>
      <c r="D416" s="65"/>
      <c r="E416" s="44" t="s">
        <v>151</v>
      </c>
      <c r="F416" s="33" t="s">
        <v>1</v>
      </c>
      <c r="G416" s="42"/>
      <c r="H416" s="43"/>
      <c r="I416" s="43"/>
      <c r="J416" s="36">
        <f>passiventfit17C</f>
        <v>300</v>
      </c>
      <c r="K416" s="37">
        <f>+IF(F416="item",J416,IF(F416&lt;&gt;0,F416*J416,""))</f>
        <v>300</v>
      </c>
      <c r="L416" s="31"/>
      <c r="M416" s="72"/>
      <c r="N416" s="73"/>
      <c r="O416" s="74"/>
      <c r="P416" s="75"/>
      <c r="Q416" s="76"/>
      <c r="S416" s="110"/>
      <c r="T416" s="12"/>
      <c r="U416" s="12"/>
      <c r="V416" s="12"/>
      <c r="W416" s="19"/>
      <c r="X416" s="111"/>
    </row>
    <row r="417" spans="1:24" ht="12.75" hidden="1" outlineLevel="1">
      <c r="A417" s="60"/>
      <c r="B417" s="61"/>
      <c r="C417" s="62"/>
      <c r="D417" s="65"/>
      <c r="E417" s="77"/>
      <c r="F417" s="33"/>
      <c r="G417" s="42"/>
      <c r="H417" s="43"/>
      <c r="I417" s="43"/>
      <c r="J417" s="36"/>
      <c r="K417" s="37"/>
      <c r="L417" s="31"/>
      <c r="M417" s="72"/>
      <c r="N417" s="73"/>
      <c r="O417" s="74"/>
      <c r="P417" s="75"/>
      <c r="Q417" s="76"/>
      <c r="S417" s="110"/>
      <c r="T417" s="12"/>
      <c r="U417" s="12"/>
      <c r="V417" s="12"/>
      <c r="W417" s="19"/>
      <c r="X417" s="111"/>
    </row>
    <row r="418" spans="1:24" ht="12.75" hidden="1" outlineLevel="1">
      <c r="A418" s="60"/>
      <c r="B418" s="61"/>
      <c r="C418" s="62"/>
      <c r="D418" s="65"/>
      <c r="E418" s="77"/>
      <c r="F418" s="33"/>
      <c r="G418" s="42"/>
      <c r="H418" s="43"/>
      <c r="I418" s="43"/>
      <c r="J418" s="36"/>
      <c r="K418" s="37">
        <f aca="true" t="shared" si="32" ref="K418:K424">+IF(F418="item",J418,IF(F418&lt;&gt;0,F418*J418,""))</f>
      </c>
      <c r="L418" s="31"/>
      <c r="M418" s="72"/>
      <c r="N418" s="73"/>
      <c r="O418" s="74"/>
      <c r="P418" s="75"/>
      <c r="Q418" s="76"/>
      <c r="S418" s="110"/>
      <c r="T418" s="12"/>
      <c r="U418" s="12"/>
      <c r="V418" s="12"/>
      <c r="W418" s="19"/>
      <c r="X418" s="111"/>
    </row>
    <row r="419" spans="1:24" ht="12.75" collapsed="1">
      <c r="A419" s="60"/>
      <c r="B419" s="61"/>
      <c r="C419" s="62"/>
      <c r="D419" s="65"/>
      <c r="E419" s="77"/>
      <c r="F419" s="33"/>
      <c r="G419" s="42"/>
      <c r="H419" s="43"/>
      <c r="I419" s="43"/>
      <c r="J419" s="36"/>
      <c r="K419" s="37">
        <f t="shared" si="32"/>
      </c>
      <c r="L419" s="31"/>
      <c r="M419" s="72"/>
      <c r="N419" s="73"/>
      <c r="O419" s="74"/>
      <c r="P419" s="75"/>
      <c r="Q419" s="76"/>
      <c r="S419" s="110"/>
      <c r="T419" s="12"/>
      <c r="U419" s="12"/>
      <c r="V419" s="12"/>
      <c r="W419" s="19"/>
      <c r="X419" s="111"/>
    </row>
    <row r="420" spans="1:24" ht="38.25">
      <c r="A420" s="60"/>
      <c r="B420" s="61"/>
      <c r="C420" s="62"/>
      <c r="D420" s="65"/>
      <c r="E420" s="77" t="s">
        <v>146</v>
      </c>
      <c r="F420" s="33"/>
      <c r="G420" s="42"/>
      <c r="H420" s="43"/>
      <c r="I420" s="43"/>
      <c r="J420" s="36"/>
      <c r="K420" s="53">
        <f>SUM(K421:K422)</f>
        <v>15600</v>
      </c>
      <c r="L420" s="31" t="s">
        <v>268</v>
      </c>
      <c r="M420" s="72"/>
      <c r="N420" s="73"/>
      <c r="O420" s="74"/>
      <c r="P420" s="75"/>
      <c r="Q420" s="76"/>
      <c r="S420" s="110"/>
      <c r="T420" s="12"/>
      <c r="U420" s="12"/>
      <c r="V420" s="12"/>
      <c r="W420" s="19"/>
      <c r="X420" s="111"/>
    </row>
    <row r="421" spans="1:24" ht="12.75" hidden="1" outlineLevel="1">
      <c r="A421" s="60"/>
      <c r="B421" s="61"/>
      <c r="C421" s="62"/>
      <c r="D421" s="65"/>
      <c r="E421" s="77"/>
      <c r="F421" s="33"/>
      <c r="G421" s="42"/>
      <c r="H421" s="43"/>
      <c r="I421" s="43"/>
      <c r="J421" s="36"/>
      <c r="K421" s="37">
        <f t="shared" si="32"/>
      </c>
      <c r="L421" s="31"/>
      <c r="M421" s="72"/>
      <c r="N421" s="73"/>
      <c r="O421" s="74"/>
      <c r="P421" s="75"/>
      <c r="Q421" s="76"/>
      <c r="S421" s="113" t="s">
        <v>257</v>
      </c>
      <c r="T421" s="12"/>
      <c r="U421" s="12"/>
      <c r="V421" s="12"/>
      <c r="W421" s="19"/>
      <c r="X421" s="111"/>
    </row>
    <row r="422" spans="1:24" ht="12.75" hidden="1" outlineLevel="1">
      <c r="A422" s="60"/>
      <c r="B422" s="61"/>
      <c r="C422" s="62"/>
      <c r="D422" s="65"/>
      <c r="E422" s="44" t="s">
        <v>158</v>
      </c>
      <c r="F422" s="33">
        <v>1</v>
      </c>
      <c r="G422" s="42" t="s">
        <v>8</v>
      </c>
      <c r="H422" s="43"/>
      <c r="I422" s="43"/>
      <c r="J422" s="36">
        <f>13000*1.2</f>
        <v>15600</v>
      </c>
      <c r="K422" s="37">
        <f t="shared" si="32"/>
        <v>15600</v>
      </c>
      <c r="L422" s="31" t="s">
        <v>171</v>
      </c>
      <c r="M422" s="72"/>
      <c r="N422" s="73"/>
      <c r="O422" s="74"/>
      <c r="P422" s="75"/>
      <c r="Q422" s="76"/>
      <c r="S422" s="110" t="str">
        <f>+E422</f>
        <v>Typical installation</v>
      </c>
      <c r="T422" s="114">
        <f>+K422</f>
        <v>15600</v>
      </c>
      <c r="U422" s="12"/>
      <c r="V422" s="12">
        <v>60</v>
      </c>
      <c r="W422" s="19">
        <f>ROUND(+IF(V422&gt;0,T422/V422,""),2)</f>
        <v>260</v>
      </c>
      <c r="X422" s="111"/>
    </row>
    <row r="423" spans="1:24" ht="12.75" hidden="1" outlineLevel="1">
      <c r="A423" s="60"/>
      <c r="B423" s="61"/>
      <c r="C423" s="62"/>
      <c r="D423" s="65"/>
      <c r="E423" s="77"/>
      <c r="F423" s="33"/>
      <c r="G423" s="42"/>
      <c r="H423" s="43"/>
      <c r="I423" s="43"/>
      <c r="J423" s="36"/>
      <c r="K423" s="37">
        <f t="shared" si="32"/>
      </c>
      <c r="L423" s="31" t="s">
        <v>172</v>
      </c>
      <c r="M423" s="72"/>
      <c r="N423" s="73"/>
      <c r="O423" s="74"/>
      <c r="P423" s="75"/>
      <c r="Q423" s="76"/>
      <c r="S423" s="110"/>
      <c r="T423" s="12"/>
      <c r="U423" s="12"/>
      <c r="V423" s="12"/>
      <c r="W423" s="19"/>
      <c r="X423" s="111"/>
    </row>
    <row r="424" spans="1:24" ht="12.75" hidden="1" outlineLevel="1">
      <c r="A424" s="60"/>
      <c r="B424" s="61"/>
      <c r="C424" s="62"/>
      <c r="D424" s="65"/>
      <c r="E424" s="77"/>
      <c r="F424" s="33"/>
      <c r="G424" s="42"/>
      <c r="H424" s="43"/>
      <c r="I424" s="43"/>
      <c r="J424" s="36"/>
      <c r="K424" s="37">
        <f t="shared" si="32"/>
      </c>
      <c r="L424" s="31"/>
      <c r="M424" s="72"/>
      <c r="N424" s="73"/>
      <c r="O424" s="74"/>
      <c r="P424" s="75"/>
      <c r="Q424" s="76"/>
      <c r="S424" s="113" t="s">
        <v>251</v>
      </c>
      <c r="T424" s="12"/>
      <c r="U424" s="12"/>
      <c r="V424" s="12"/>
      <c r="W424" s="19"/>
      <c r="X424" s="111"/>
    </row>
    <row r="425" spans="1:24" ht="12.75" hidden="1" outlineLevel="1">
      <c r="A425" s="60"/>
      <c r="B425" s="61"/>
      <c r="C425" s="62"/>
      <c r="D425" s="65"/>
      <c r="E425" s="77"/>
      <c r="F425" s="33"/>
      <c r="G425" s="42"/>
      <c r="H425" s="43"/>
      <c r="I425" s="43"/>
      <c r="J425" s="36"/>
      <c r="K425" s="37"/>
      <c r="L425" s="31"/>
      <c r="M425" s="72"/>
      <c r="N425" s="73"/>
      <c r="O425" s="74"/>
      <c r="P425" s="75"/>
      <c r="Q425" s="76"/>
      <c r="S425" s="110" t="s">
        <v>267</v>
      </c>
      <c r="T425" s="12"/>
      <c r="U425" s="12" t="s">
        <v>269</v>
      </c>
      <c r="V425" s="12">
        <v>1</v>
      </c>
      <c r="W425" s="19"/>
      <c r="X425" s="111"/>
    </row>
    <row r="426" spans="1:24" ht="12.75" hidden="1" outlineLevel="1">
      <c r="A426" s="60"/>
      <c r="B426" s="61"/>
      <c r="C426" s="62"/>
      <c r="D426" s="65"/>
      <c r="E426" s="77"/>
      <c r="F426" s="33"/>
      <c r="G426" s="42"/>
      <c r="H426" s="43"/>
      <c r="I426" s="43"/>
      <c r="J426" s="36"/>
      <c r="K426" s="37"/>
      <c r="L426" s="31"/>
      <c r="M426" s="72"/>
      <c r="N426" s="73"/>
      <c r="O426" s="74"/>
      <c r="P426" s="75"/>
      <c r="Q426" s="76"/>
      <c r="S426" s="110" t="s">
        <v>270</v>
      </c>
      <c r="T426" s="12"/>
      <c r="U426" s="12" t="s">
        <v>269</v>
      </c>
      <c r="V426" s="12" t="s">
        <v>269</v>
      </c>
      <c r="W426" s="19"/>
      <c r="X426" s="111"/>
    </row>
    <row r="427" spans="1:24" ht="12.75" hidden="1" outlineLevel="1">
      <c r="A427" s="60"/>
      <c r="B427" s="61"/>
      <c r="C427" s="62"/>
      <c r="D427" s="65"/>
      <c r="E427" s="77"/>
      <c r="F427" s="33"/>
      <c r="G427" s="42"/>
      <c r="H427" s="43"/>
      <c r="I427" s="43"/>
      <c r="J427" s="36"/>
      <c r="K427" s="37">
        <f>+IF(F427="item",J427,IF(F427&lt;&gt;0,F427*J427,""))</f>
      </c>
      <c r="L427" s="31"/>
      <c r="M427" s="72"/>
      <c r="N427" s="73"/>
      <c r="O427" s="74"/>
      <c r="P427" s="75"/>
      <c r="Q427" s="76"/>
      <c r="S427" s="110" t="s">
        <v>271</v>
      </c>
      <c r="T427" s="12"/>
      <c r="U427" s="12" t="s">
        <v>269</v>
      </c>
      <c r="V427" s="12" t="s">
        <v>269</v>
      </c>
      <c r="W427" s="19"/>
      <c r="X427" s="111"/>
    </row>
    <row r="428" spans="1:24" ht="12.75" collapsed="1">
      <c r="A428" s="60"/>
      <c r="B428" s="61"/>
      <c r="C428" s="62"/>
      <c r="D428" s="65"/>
      <c r="E428" s="77"/>
      <c r="F428" s="33"/>
      <c r="G428" s="42"/>
      <c r="H428" s="43"/>
      <c r="I428" s="43"/>
      <c r="J428" s="36"/>
      <c r="K428" s="37"/>
      <c r="L428" s="31"/>
      <c r="M428" s="72"/>
      <c r="N428" s="73"/>
      <c r="O428" s="74"/>
      <c r="P428" s="75"/>
      <c r="Q428" s="76"/>
      <c r="S428" s="110"/>
      <c r="T428" s="12"/>
      <c r="U428" s="12"/>
      <c r="V428" s="12"/>
      <c r="W428" s="19"/>
      <c r="X428" s="111"/>
    </row>
    <row r="429" spans="1:24" ht="12.75">
      <c r="A429" s="60"/>
      <c r="B429" s="61"/>
      <c r="C429" s="62"/>
      <c r="D429" s="65"/>
      <c r="E429" s="77"/>
      <c r="F429" s="33"/>
      <c r="G429" s="42"/>
      <c r="H429" s="43"/>
      <c r="I429" s="43"/>
      <c r="J429" s="36"/>
      <c r="K429" s="37"/>
      <c r="L429" s="31"/>
      <c r="M429" s="72"/>
      <c r="N429" s="73"/>
      <c r="O429" s="74"/>
      <c r="P429" s="75"/>
      <c r="Q429" s="76"/>
      <c r="S429" s="110"/>
      <c r="T429" s="12"/>
      <c r="U429" s="12"/>
      <c r="V429" s="12"/>
      <c r="W429" s="19"/>
      <c r="X429" s="111"/>
    </row>
    <row r="430" spans="1:24" ht="12.75">
      <c r="A430" s="60"/>
      <c r="B430" s="61"/>
      <c r="C430" s="62"/>
      <c r="D430" s="65"/>
      <c r="E430" s="77" t="s">
        <v>147</v>
      </c>
      <c r="F430" s="33"/>
      <c r="G430" s="42"/>
      <c r="H430" s="43"/>
      <c r="I430" s="43"/>
      <c r="J430" s="36"/>
      <c r="K430" s="53">
        <f>SUM(K432:K445)</f>
        <v>3115.0289500000003</v>
      </c>
      <c r="L430" s="31" t="s">
        <v>148</v>
      </c>
      <c r="M430" s="72"/>
      <c r="N430" s="73"/>
      <c r="O430" s="74"/>
      <c r="P430" s="75"/>
      <c r="Q430" s="76"/>
      <c r="S430" s="110"/>
      <c r="T430" s="12"/>
      <c r="U430" s="12"/>
      <c r="V430" s="12"/>
      <c r="W430" s="112">
        <f>SUM(W431:W446)</f>
        <v>159.3</v>
      </c>
      <c r="X430" s="122"/>
    </row>
    <row r="431" spans="1:24" ht="25.5" hidden="1" outlineLevel="1">
      <c r="A431" s="60"/>
      <c r="B431" s="61"/>
      <c r="C431" s="62"/>
      <c r="D431" s="65"/>
      <c r="E431" s="77"/>
      <c r="F431" s="33"/>
      <c r="G431" s="42"/>
      <c r="H431" s="43"/>
      <c r="I431" s="43"/>
      <c r="J431" s="36"/>
      <c r="K431" s="37">
        <f aca="true" t="shared" si="33" ref="K431:K442">+IF(F431="item",J431,IF(F431&lt;&gt;0,F431*J431,""))</f>
      </c>
      <c r="L431" s="44" t="s">
        <v>155</v>
      </c>
      <c r="M431" s="72"/>
      <c r="N431" s="73"/>
      <c r="O431" s="74"/>
      <c r="P431" s="75"/>
      <c r="Q431" s="76"/>
      <c r="S431" s="113" t="s">
        <v>257</v>
      </c>
      <c r="T431" s="12"/>
      <c r="U431" s="12"/>
      <c r="V431" s="12"/>
      <c r="W431" s="19"/>
      <c r="X431" s="122"/>
    </row>
    <row r="432" spans="1:24" ht="12.75" hidden="1" outlineLevel="1">
      <c r="A432" s="60"/>
      <c r="B432" s="61"/>
      <c r="C432" s="62"/>
      <c r="D432" s="65"/>
      <c r="E432" s="44" t="s">
        <v>149</v>
      </c>
      <c r="F432" s="33">
        <v>1</v>
      </c>
      <c r="G432" s="42" t="s">
        <v>8</v>
      </c>
      <c r="H432" s="43"/>
      <c r="I432" s="43"/>
      <c r="J432" s="36">
        <f>595*1.2</f>
        <v>714</v>
      </c>
      <c r="K432" s="37">
        <f t="shared" si="33"/>
        <v>714</v>
      </c>
      <c r="L432" s="31"/>
      <c r="M432" s="72"/>
      <c r="N432" s="73"/>
      <c r="O432" s="74"/>
      <c r="P432" s="75"/>
      <c r="Q432" s="76"/>
      <c r="S432" s="110" t="str">
        <f>+E432</f>
        <v>Purchase stove - Stockton 5</v>
      </c>
      <c r="T432" s="114">
        <f>+K432</f>
        <v>714</v>
      </c>
      <c r="U432" s="12"/>
      <c r="V432" s="12">
        <v>20</v>
      </c>
      <c r="W432" s="19">
        <f>ROUND(+IF(V432&gt;0,T432/V432,""),2)</f>
        <v>35.7</v>
      </c>
      <c r="X432" s="122"/>
    </row>
    <row r="433" spans="1:24" ht="12.75" hidden="1" outlineLevel="1">
      <c r="A433" s="60"/>
      <c r="B433" s="61"/>
      <c r="C433" s="62"/>
      <c r="D433" s="65"/>
      <c r="E433" s="44"/>
      <c r="F433" s="33"/>
      <c r="G433" s="42"/>
      <c r="H433" s="43"/>
      <c r="I433" s="43"/>
      <c r="J433" s="36"/>
      <c r="K433" s="37">
        <f t="shared" si="33"/>
      </c>
      <c r="L433" s="31"/>
      <c r="M433" s="72"/>
      <c r="N433" s="73"/>
      <c r="O433" s="74"/>
      <c r="P433" s="75"/>
      <c r="Q433" s="76"/>
      <c r="S433" s="110"/>
      <c r="T433" s="12"/>
      <c r="U433" s="12"/>
      <c r="V433" s="12"/>
      <c r="W433" s="19"/>
      <c r="X433" s="111"/>
    </row>
    <row r="434" spans="1:24" ht="12.75" hidden="1" outlineLevel="1">
      <c r="A434" s="60"/>
      <c r="B434" s="61"/>
      <c r="C434" s="62"/>
      <c r="D434" s="65"/>
      <c r="E434" s="44" t="s">
        <v>150</v>
      </c>
      <c r="F434" s="33">
        <v>1</v>
      </c>
      <c r="G434" s="42" t="s">
        <v>8</v>
      </c>
      <c r="H434" s="43"/>
      <c r="I434" s="43"/>
      <c r="J434" s="36">
        <f>24.96*1.2</f>
        <v>29.951999999999998</v>
      </c>
      <c r="K434" s="37">
        <f t="shared" si="33"/>
        <v>29.951999999999998</v>
      </c>
      <c r="L434" s="31"/>
      <c r="M434" s="72"/>
      <c r="N434" s="73"/>
      <c r="O434" s="74"/>
      <c r="P434" s="75"/>
      <c r="Q434" s="76"/>
      <c r="S434" s="110" t="str">
        <f>+E434</f>
        <v>Smoke control kit</v>
      </c>
      <c r="T434" s="114">
        <f>+K434</f>
        <v>29.951999999999998</v>
      </c>
      <c r="U434" s="12"/>
      <c r="V434" s="12">
        <v>20</v>
      </c>
      <c r="W434" s="19">
        <f>ROUND(+IF(V434&gt;0,T434/V434,""),2)</f>
        <v>1.5</v>
      </c>
      <c r="X434" s="111"/>
    </row>
    <row r="435" spans="1:24" ht="12.75" hidden="1" outlineLevel="1">
      <c r="A435" s="60"/>
      <c r="B435" s="61"/>
      <c r="C435" s="62"/>
      <c r="D435" s="65"/>
      <c r="E435" s="44"/>
      <c r="F435" s="33"/>
      <c r="G435" s="42"/>
      <c r="H435" s="43"/>
      <c r="I435" s="43"/>
      <c r="J435" s="36"/>
      <c r="K435" s="37">
        <f t="shared" si="33"/>
      </c>
      <c r="L435" s="31"/>
      <c r="M435" s="72"/>
      <c r="N435" s="73"/>
      <c r="O435" s="74"/>
      <c r="P435" s="75"/>
      <c r="Q435" s="76"/>
      <c r="S435" s="110"/>
      <c r="T435" s="12"/>
      <c r="U435" s="12"/>
      <c r="V435" s="12"/>
      <c r="W435" s="19"/>
      <c r="X435" s="111"/>
    </row>
    <row r="436" spans="1:24" ht="12.75" hidden="1" outlineLevel="1">
      <c r="A436" s="60"/>
      <c r="B436" s="61"/>
      <c r="C436" s="62"/>
      <c r="D436" s="65"/>
      <c r="E436" s="44" t="s">
        <v>151</v>
      </c>
      <c r="F436" s="33">
        <v>1</v>
      </c>
      <c r="G436" s="42" t="s">
        <v>8</v>
      </c>
      <c r="H436" s="43"/>
      <c r="I436" s="43"/>
      <c r="J436" s="36">
        <f>300*1.2</f>
        <v>360</v>
      </c>
      <c r="K436" s="37">
        <f t="shared" si="33"/>
        <v>360</v>
      </c>
      <c r="L436" s="31"/>
      <c r="M436" s="72"/>
      <c r="N436" s="73"/>
      <c r="O436" s="74"/>
      <c r="P436" s="75"/>
      <c r="Q436" s="76"/>
      <c r="S436" s="110"/>
      <c r="T436" s="12"/>
      <c r="U436" s="12"/>
      <c r="V436" s="12"/>
      <c r="W436" s="19"/>
      <c r="X436" s="111"/>
    </row>
    <row r="437" spans="1:24" ht="12.75" hidden="1" outlineLevel="1">
      <c r="A437" s="60"/>
      <c r="B437" s="61"/>
      <c r="C437" s="62"/>
      <c r="D437" s="65"/>
      <c r="E437" s="44"/>
      <c r="F437" s="33"/>
      <c r="G437" s="42"/>
      <c r="H437" s="43"/>
      <c r="I437" s="43"/>
      <c r="J437" s="36"/>
      <c r="K437" s="37">
        <f t="shared" si="33"/>
      </c>
      <c r="L437" s="31"/>
      <c r="M437" s="72"/>
      <c r="N437" s="73"/>
      <c r="O437" s="74"/>
      <c r="P437" s="75"/>
      <c r="Q437" s="76"/>
      <c r="S437" s="110"/>
      <c r="T437" s="12"/>
      <c r="U437" s="12"/>
      <c r="V437" s="12"/>
      <c r="W437" s="19"/>
      <c r="X437" s="111"/>
    </row>
    <row r="438" spans="1:24" ht="12.75" hidden="1" outlineLevel="1">
      <c r="A438" s="60"/>
      <c r="B438" s="61"/>
      <c r="C438" s="62"/>
      <c r="D438" s="65"/>
      <c r="E438" s="44" t="s">
        <v>152</v>
      </c>
      <c r="F438" s="33">
        <v>1</v>
      </c>
      <c r="G438" s="42" t="s">
        <v>8</v>
      </c>
      <c r="H438" s="43"/>
      <c r="I438" s="43"/>
      <c r="J438" s="36">
        <f>535*1.2</f>
        <v>642</v>
      </c>
      <c r="K438" s="37">
        <f t="shared" si="33"/>
        <v>642</v>
      </c>
      <c r="L438" s="31"/>
      <c r="M438" s="72"/>
      <c r="N438" s="73"/>
      <c r="O438" s="74"/>
      <c r="P438" s="75"/>
      <c r="Q438" s="76"/>
      <c r="S438" s="110" t="str">
        <f>+E438</f>
        <v>Liner and vermiculite</v>
      </c>
      <c r="T438" s="114">
        <f>+K438</f>
        <v>642</v>
      </c>
      <c r="U438" s="12"/>
      <c r="V438" s="12">
        <v>20</v>
      </c>
      <c r="W438" s="19">
        <f>ROUND(+IF(V438&gt;0,T438/V438,""),2)</f>
        <v>32.1</v>
      </c>
      <c r="X438" s="111"/>
    </row>
    <row r="439" spans="1:24" ht="12.75" hidden="1" outlineLevel="1">
      <c r="A439" s="60"/>
      <c r="B439" s="61"/>
      <c r="C439" s="62"/>
      <c r="D439" s="65"/>
      <c r="E439" s="44"/>
      <c r="F439" s="33"/>
      <c r="G439" s="42"/>
      <c r="H439" s="43"/>
      <c r="I439" s="43"/>
      <c r="J439" s="36"/>
      <c r="K439" s="37">
        <f t="shared" si="33"/>
      </c>
      <c r="L439" s="31"/>
      <c r="M439" s="72"/>
      <c r="N439" s="73"/>
      <c r="O439" s="74"/>
      <c r="P439" s="75"/>
      <c r="Q439" s="76"/>
      <c r="S439" s="110"/>
      <c r="T439" s="12"/>
      <c r="U439" s="12"/>
      <c r="V439" s="12"/>
      <c r="W439" s="19"/>
      <c r="X439" s="111"/>
    </row>
    <row r="440" spans="1:24" ht="25.5" hidden="1" outlineLevel="1">
      <c r="A440" s="60"/>
      <c r="B440" s="61"/>
      <c r="C440" s="62"/>
      <c r="D440" s="65"/>
      <c r="E440" s="44" t="s">
        <v>153</v>
      </c>
      <c r="F440" s="33">
        <v>1</v>
      </c>
      <c r="G440" s="42" t="s">
        <v>8</v>
      </c>
      <c r="H440" s="43">
        <v>2</v>
      </c>
      <c r="I440" s="43">
        <v>50</v>
      </c>
      <c r="J440" s="36">
        <f>IF(+I440+H440&gt;0,I440+(H440*labour),"")</f>
        <v>110</v>
      </c>
      <c r="K440" s="37">
        <f t="shared" si="33"/>
        <v>110</v>
      </c>
      <c r="L440" s="31"/>
      <c r="M440" s="72"/>
      <c r="N440" s="73"/>
      <c r="O440" s="74"/>
      <c r="P440" s="75"/>
      <c r="Q440" s="76"/>
      <c r="S440" s="113" t="s">
        <v>251</v>
      </c>
      <c r="T440" s="12"/>
      <c r="U440" s="12"/>
      <c r="V440" s="12"/>
      <c r="W440" s="19"/>
      <c r="X440" s="111" t="s">
        <v>272</v>
      </c>
    </row>
    <row r="441" spans="1:24" ht="12.75" hidden="1" outlineLevel="1">
      <c r="A441" s="60"/>
      <c r="B441" s="61"/>
      <c r="C441" s="62"/>
      <c r="D441" s="65"/>
      <c r="E441" s="44"/>
      <c r="F441" s="33"/>
      <c r="G441" s="42"/>
      <c r="H441" s="43"/>
      <c r="I441" s="43"/>
      <c r="J441" s="36">
        <f>IF(+I441+H441&gt;0,I441+(H441*labour),"")</f>
      </c>
      <c r="K441" s="37">
        <f t="shared" si="33"/>
      </c>
      <c r="L441" s="31"/>
      <c r="M441" s="72"/>
      <c r="N441" s="73"/>
      <c r="O441" s="74"/>
      <c r="P441" s="75"/>
      <c r="Q441" s="76"/>
      <c r="S441" s="110" t="s">
        <v>273</v>
      </c>
      <c r="T441" s="12"/>
      <c r="U441" s="12">
        <v>70</v>
      </c>
      <c r="V441" s="12">
        <v>1</v>
      </c>
      <c r="W441" s="19">
        <f>+U441/V441</f>
        <v>70</v>
      </c>
      <c r="X441" s="111"/>
    </row>
    <row r="442" spans="1:24" ht="12.75" hidden="1" outlineLevel="1">
      <c r="A442" s="60"/>
      <c r="B442" s="61"/>
      <c r="C442" s="62"/>
      <c r="D442" s="65"/>
      <c r="E442" s="44" t="s">
        <v>154</v>
      </c>
      <c r="F442" s="33">
        <v>1</v>
      </c>
      <c r="G442" s="42" t="s">
        <v>8</v>
      </c>
      <c r="H442" s="43"/>
      <c r="I442" s="43"/>
      <c r="J442" s="36">
        <f>+K157</f>
        <v>975.8925</v>
      </c>
      <c r="K442" s="37">
        <f t="shared" si="33"/>
        <v>975.8925</v>
      </c>
      <c r="L442" s="31"/>
      <c r="M442" s="72"/>
      <c r="N442" s="73"/>
      <c r="O442" s="74"/>
      <c r="P442" s="75"/>
      <c r="Q442" s="76"/>
      <c r="S442" s="110" t="s">
        <v>274</v>
      </c>
      <c r="T442" s="12"/>
      <c r="U442" s="12">
        <v>40</v>
      </c>
      <c r="V442" s="12">
        <v>5</v>
      </c>
      <c r="W442" s="19">
        <f>+U442/V442</f>
        <v>8</v>
      </c>
      <c r="X442" s="111" t="s">
        <v>272</v>
      </c>
    </row>
    <row r="443" spans="1:24" ht="12.75" hidden="1" outlineLevel="1">
      <c r="A443" s="60"/>
      <c r="B443" s="61"/>
      <c r="C443" s="62"/>
      <c r="D443" s="65"/>
      <c r="E443" s="44"/>
      <c r="F443" s="33"/>
      <c r="G443" s="42"/>
      <c r="H443" s="43"/>
      <c r="I443" s="43"/>
      <c r="J443" s="36"/>
      <c r="K443" s="37"/>
      <c r="L443" s="31"/>
      <c r="M443" s="72"/>
      <c r="N443" s="73"/>
      <c r="O443" s="74"/>
      <c r="P443" s="75"/>
      <c r="Q443" s="76"/>
      <c r="S443" s="110"/>
      <c r="T443" s="12"/>
      <c r="U443" s="12"/>
      <c r="V443" s="12"/>
      <c r="W443" s="19"/>
      <c r="X443" s="111"/>
    </row>
    <row r="444" spans="1:24" ht="12.75" hidden="1" outlineLevel="1">
      <c r="A444" s="60"/>
      <c r="B444" s="61"/>
      <c r="C444" s="62"/>
      <c r="D444" s="65"/>
      <c r="E444" s="38" t="s">
        <v>362</v>
      </c>
      <c r="F444" s="33">
        <v>10</v>
      </c>
      <c r="G444" s="34" t="s">
        <v>363</v>
      </c>
      <c r="H444" s="39"/>
      <c r="I444" s="39"/>
      <c r="J444" s="36">
        <f>SUM(K431:K443)</f>
        <v>2831.8445</v>
      </c>
      <c r="K444" s="37">
        <f>+J444*F444%</f>
        <v>283.18445</v>
      </c>
      <c r="L444" s="31"/>
      <c r="M444" s="72"/>
      <c r="N444" s="73"/>
      <c r="O444" s="74"/>
      <c r="P444" s="75"/>
      <c r="Q444" s="76"/>
      <c r="S444" s="110"/>
      <c r="T444" s="12"/>
      <c r="U444" s="12"/>
      <c r="V444" s="12"/>
      <c r="W444" s="19"/>
      <c r="X444" s="111"/>
    </row>
    <row r="445" spans="1:24" ht="12.75" hidden="1" outlineLevel="1">
      <c r="A445" s="60"/>
      <c r="B445" s="61"/>
      <c r="C445" s="62"/>
      <c r="D445" s="65"/>
      <c r="E445" s="44"/>
      <c r="F445" s="33"/>
      <c r="G445" s="42"/>
      <c r="H445" s="43"/>
      <c r="I445" s="43"/>
      <c r="J445" s="36"/>
      <c r="K445" s="37">
        <f>+IF(F445="item",J445,IF(F445&lt;&gt;0,F445*J445,""))</f>
      </c>
      <c r="L445" s="31"/>
      <c r="M445" s="72"/>
      <c r="N445" s="73"/>
      <c r="O445" s="74"/>
      <c r="P445" s="75"/>
      <c r="Q445" s="76"/>
      <c r="S445" s="110" t="s">
        <v>275</v>
      </c>
      <c r="T445" s="12"/>
      <c r="U445" s="12">
        <v>60</v>
      </c>
      <c r="V445" s="12">
        <v>5</v>
      </c>
      <c r="W445" s="19">
        <f>+U445/V445</f>
        <v>12</v>
      </c>
      <c r="X445" s="111"/>
    </row>
    <row r="446" spans="1:24" ht="12.75" collapsed="1">
      <c r="A446" s="60"/>
      <c r="B446" s="61"/>
      <c r="C446" s="62"/>
      <c r="D446" s="65"/>
      <c r="E446" s="44"/>
      <c r="F446" s="33"/>
      <c r="G446" s="42"/>
      <c r="H446" s="43"/>
      <c r="I446" s="43"/>
      <c r="J446" s="36">
        <f>IF(+I446+H446&gt;0,I446+(H446*labour),"")</f>
      </c>
      <c r="K446" s="37">
        <f>+IF(F446="item",J446,IF(F446&lt;&gt;0,F446*J446,""))</f>
      </c>
      <c r="L446" s="31"/>
      <c r="M446" s="72"/>
      <c r="N446" s="73"/>
      <c r="O446" s="74"/>
      <c r="P446" s="75"/>
      <c r="Q446" s="76"/>
      <c r="S446" s="110"/>
      <c r="T446" s="12"/>
      <c r="U446" s="12"/>
      <c r="V446" s="12"/>
      <c r="W446" s="19"/>
      <c r="X446" s="111"/>
    </row>
    <row r="447" spans="1:24" ht="12.75">
      <c r="A447" s="60"/>
      <c r="B447" s="61"/>
      <c r="C447" s="62"/>
      <c r="D447" s="65"/>
      <c r="E447" s="44"/>
      <c r="F447" s="33"/>
      <c r="G447" s="42"/>
      <c r="H447" s="43"/>
      <c r="I447" s="43"/>
      <c r="J447" s="36">
        <f>IF(+I447+H447&gt;0,I447+(H447*labour),"")</f>
      </c>
      <c r="K447" s="37">
        <f>+IF(F447="item",J447,IF(F447&lt;&gt;0,F447*J447,""))</f>
      </c>
      <c r="L447" s="31"/>
      <c r="M447" s="72"/>
      <c r="N447" s="73"/>
      <c r="O447" s="74"/>
      <c r="P447" s="75"/>
      <c r="Q447" s="76"/>
      <c r="S447" s="110"/>
      <c r="T447" s="12"/>
      <c r="U447" s="12"/>
      <c r="V447" s="12"/>
      <c r="W447" s="19"/>
      <c r="X447" s="111"/>
    </row>
    <row r="448" spans="1:24" ht="12.75">
      <c r="A448" s="60"/>
      <c r="B448" s="61"/>
      <c r="C448" s="62"/>
      <c r="D448" s="65"/>
      <c r="E448" s="77" t="s">
        <v>156</v>
      </c>
      <c r="F448" s="33"/>
      <c r="G448" s="42"/>
      <c r="H448" s="43"/>
      <c r="I448" s="43"/>
      <c r="J448" s="36">
        <f>IF(+I448+H448&gt;0,I448+(H448*labour),"")</f>
      </c>
      <c r="K448" s="53">
        <v>4800</v>
      </c>
      <c r="L448" s="31"/>
      <c r="M448" s="72"/>
      <c r="N448" s="73"/>
      <c r="O448" s="74"/>
      <c r="P448" s="75"/>
      <c r="Q448" s="76"/>
      <c r="S448" s="110"/>
      <c r="T448" s="12"/>
      <c r="U448" s="12"/>
      <c r="V448" s="12"/>
      <c r="W448" s="112">
        <f>SUM(W449:W451)</f>
        <v>310</v>
      </c>
      <c r="X448" s="111"/>
    </row>
    <row r="449" spans="1:24" ht="12.75" hidden="1" outlineLevel="1">
      <c r="A449" s="60"/>
      <c r="B449" s="61"/>
      <c r="C449" s="62"/>
      <c r="D449" s="65"/>
      <c r="E449" s="77"/>
      <c r="F449" s="33"/>
      <c r="G449" s="42"/>
      <c r="H449" s="43"/>
      <c r="I449" s="43"/>
      <c r="J449" s="36"/>
      <c r="K449" s="37"/>
      <c r="L449" s="31"/>
      <c r="M449" s="72"/>
      <c r="N449" s="73"/>
      <c r="O449" s="74"/>
      <c r="P449" s="75"/>
      <c r="Q449" s="76"/>
      <c r="S449" s="113" t="s">
        <v>257</v>
      </c>
      <c r="T449" s="114">
        <f>+K448</f>
        <v>4800</v>
      </c>
      <c r="U449" s="12"/>
      <c r="V449" s="12">
        <v>20</v>
      </c>
      <c r="W449" s="19">
        <f>+T449/V449</f>
        <v>240</v>
      </c>
      <c r="X449" s="111"/>
    </row>
    <row r="450" spans="1:24" ht="12.75" hidden="1" outlineLevel="1">
      <c r="A450" s="60"/>
      <c r="B450" s="61"/>
      <c r="C450" s="62"/>
      <c r="D450" s="65"/>
      <c r="E450" s="44" t="s">
        <v>158</v>
      </c>
      <c r="F450" s="33"/>
      <c r="G450" s="42"/>
      <c r="H450" s="43"/>
      <c r="I450" s="43"/>
      <c r="J450" s="36"/>
      <c r="K450" s="37"/>
      <c r="L450" s="31"/>
      <c r="M450" s="72"/>
      <c r="N450" s="73"/>
      <c r="O450" s="74"/>
      <c r="P450" s="75"/>
      <c r="Q450" s="76"/>
      <c r="S450" s="113" t="s">
        <v>251</v>
      </c>
      <c r="T450" s="12"/>
      <c r="U450" s="12"/>
      <c r="V450" s="12"/>
      <c r="W450" s="19"/>
      <c r="X450" s="111"/>
    </row>
    <row r="451" spans="1:24" ht="38.25" hidden="1" outlineLevel="1">
      <c r="A451" s="60"/>
      <c r="B451" s="61"/>
      <c r="C451" s="62"/>
      <c r="D451" s="65"/>
      <c r="E451" s="44"/>
      <c r="F451" s="33"/>
      <c r="G451" s="42"/>
      <c r="H451" s="43"/>
      <c r="I451" s="43"/>
      <c r="J451" s="36">
        <f>IF(+I451+H451&gt;0,I451+(H451*labour),"")</f>
      </c>
      <c r="K451" s="37">
        <f>+IF(F451="item",J451,IF(F451&lt;&gt;0,F451*J451,""))</f>
      </c>
      <c r="L451" s="69" t="s">
        <v>162</v>
      </c>
      <c r="M451" s="72"/>
      <c r="N451" s="73"/>
      <c r="O451" s="74"/>
      <c r="P451" s="75"/>
      <c r="Q451" s="76"/>
      <c r="S451" s="110" t="s">
        <v>276</v>
      </c>
      <c r="T451" s="12"/>
      <c r="U451" s="12">
        <v>70</v>
      </c>
      <c r="V451" s="12">
        <v>1</v>
      </c>
      <c r="W451" s="19">
        <f>+U451/V451</f>
        <v>70</v>
      </c>
      <c r="X451" s="111"/>
    </row>
    <row r="452" spans="1:24" ht="12.75" collapsed="1">
      <c r="A452" s="60"/>
      <c r="B452" s="61"/>
      <c r="C452" s="62"/>
      <c r="D452" s="65"/>
      <c r="E452" s="44"/>
      <c r="F452" s="33"/>
      <c r="G452" s="42"/>
      <c r="H452" s="43"/>
      <c r="I452" s="43"/>
      <c r="J452" s="36">
        <f>IF(+I452+H452&gt;0,I452+(H452*labour),"")</f>
      </c>
      <c r="K452" s="37">
        <f>+IF(F452="item",J452,IF(F452&lt;&gt;0,F452*J452,""))</f>
      </c>
      <c r="L452" s="31"/>
      <c r="M452" s="72"/>
      <c r="N452" s="73"/>
      <c r="O452" s="74"/>
      <c r="P452" s="75"/>
      <c r="Q452" s="76"/>
      <c r="S452" s="110"/>
      <c r="T452" s="12"/>
      <c r="U452" s="12"/>
      <c r="V452" s="12"/>
      <c r="W452" s="19"/>
      <c r="X452" s="111"/>
    </row>
    <row r="453" spans="1:24" ht="12.75">
      <c r="A453" s="60"/>
      <c r="B453" s="61"/>
      <c r="C453" s="62"/>
      <c r="D453" s="65"/>
      <c r="E453" s="44"/>
      <c r="F453" s="33"/>
      <c r="G453" s="42"/>
      <c r="H453" s="43"/>
      <c r="I453" s="43"/>
      <c r="J453" s="36"/>
      <c r="K453" s="37"/>
      <c r="L453" s="31"/>
      <c r="M453" s="72"/>
      <c r="N453" s="73"/>
      <c r="O453" s="74"/>
      <c r="P453" s="75"/>
      <c r="Q453" s="76"/>
      <c r="S453" s="110"/>
      <c r="T453" s="12"/>
      <c r="U453" s="12"/>
      <c r="V453" s="12"/>
      <c r="W453" s="19"/>
      <c r="X453" s="111"/>
    </row>
    <row r="454" spans="1:24" ht="12.75">
      <c r="A454" s="60"/>
      <c r="B454" s="61"/>
      <c r="C454" s="62"/>
      <c r="D454" s="65"/>
      <c r="E454" s="77" t="s">
        <v>161</v>
      </c>
      <c r="F454" s="33"/>
      <c r="G454" s="42"/>
      <c r="H454" s="43"/>
      <c r="I454" s="43"/>
      <c r="J454" s="36">
        <f aca="true" t="shared" si="34" ref="J454:J461">IF(+I454+H454&gt;0,I454+(H454*labour),"")</f>
      </c>
      <c r="K454" s="53">
        <v>18000</v>
      </c>
      <c r="L454" s="31" t="s">
        <v>159</v>
      </c>
      <c r="M454" s="72"/>
      <c r="N454" s="73"/>
      <c r="O454" s="74"/>
      <c r="P454" s="75"/>
      <c r="Q454" s="76"/>
      <c r="S454" s="110"/>
      <c r="T454" s="12"/>
      <c r="U454" s="12"/>
      <c r="V454" s="12"/>
      <c r="W454" s="112">
        <f>SUM(W455:W457)</f>
        <v>970</v>
      </c>
      <c r="X454" s="111"/>
    </row>
    <row r="455" spans="1:24" ht="12.75">
      <c r="A455" s="60"/>
      <c r="B455" s="61"/>
      <c r="C455" s="62"/>
      <c r="D455" s="65"/>
      <c r="E455" s="44"/>
      <c r="F455" s="33"/>
      <c r="G455" s="42"/>
      <c r="H455" s="43"/>
      <c r="I455" s="43"/>
      <c r="J455" s="36">
        <f t="shared" si="34"/>
      </c>
      <c r="K455" s="37">
        <f aca="true" t="shared" si="35" ref="K455:K460">+IF(F455="item",J455,IF(F455&lt;&gt;0,F455*J455,""))</f>
      </c>
      <c r="L455" s="31"/>
      <c r="M455" s="72"/>
      <c r="N455" s="73"/>
      <c r="O455" s="74"/>
      <c r="P455" s="75"/>
      <c r="Q455" s="76"/>
      <c r="S455" s="113" t="s">
        <v>257</v>
      </c>
      <c r="T455" s="114">
        <f>+K454</f>
        <v>18000</v>
      </c>
      <c r="U455" s="12"/>
      <c r="V455" s="12">
        <v>20</v>
      </c>
      <c r="W455" s="19">
        <f>+T455/V455</f>
        <v>900</v>
      </c>
      <c r="X455" s="111"/>
    </row>
    <row r="456" spans="1:24" ht="12.75" hidden="1" outlineLevel="1">
      <c r="A456" s="60"/>
      <c r="B456" s="61"/>
      <c r="C456" s="62"/>
      <c r="D456" s="65"/>
      <c r="E456" s="44" t="s">
        <v>158</v>
      </c>
      <c r="F456" s="33"/>
      <c r="G456" s="42"/>
      <c r="H456" s="43"/>
      <c r="I456" s="43"/>
      <c r="J456" s="36">
        <f t="shared" si="34"/>
      </c>
      <c r="K456" s="37">
        <f t="shared" si="35"/>
      </c>
      <c r="L456" s="31" t="s">
        <v>160</v>
      </c>
      <c r="M456" s="72"/>
      <c r="N456" s="73"/>
      <c r="O456" s="74"/>
      <c r="P456" s="75"/>
      <c r="Q456" s="76"/>
      <c r="S456" s="113" t="s">
        <v>251</v>
      </c>
      <c r="T456" s="12"/>
      <c r="U456" s="12"/>
      <c r="V456" s="12"/>
      <c r="W456" s="19"/>
      <c r="X456" s="111"/>
    </row>
    <row r="457" spans="1:24" ht="12.75" hidden="1" outlineLevel="1">
      <c r="A457" s="60"/>
      <c r="B457" s="61"/>
      <c r="C457" s="62"/>
      <c r="D457" s="65"/>
      <c r="E457" s="44"/>
      <c r="F457" s="33"/>
      <c r="G457" s="42"/>
      <c r="H457" s="43"/>
      <c r="I457" s="43"/>
      <c r="J457" s="36">
        <f t="shared" si="34"/>
      </c>
      <c r="K457" s="37">
        <f t="shared" si="35"/>
      </c>
      <c r="L457" s="31"/>
      <c r="M457" s="72"/>
      <c r="N457" s="73"/>
      <c r="O457" s="74"/>
      <c r="P457" s="75"/>
      <c r="Q457" s="76"/>
      <c r="S457" s="110" t="s">
        <v>276</v>
      </c>
      <c r="T457" s="12"/>
      <c r="U457" s="12">
        <v>70</v>
      </c>
      <c r="V457" s="12">
        <v>1</v>
      </c>
      <c r="W457" s="19">
        <f>+U457/V457</f>
        <v>70</v>
      </c>
      <c r="X457" s="111"/>
    </row>
    <row r="458" spans="1:24" ht="38.25" hidden="1" outlineLevel="1">
      <c r="A458" s="60"/>
      <c r="B458" s="61"/>
      <c r="C458" s="62"/>
      <c r="D458" s="65"/>
      <c r="E458" s="44"/>
      <c r="F458" s="33"/>
      <c r="G458" s="42"/>
      <c r="H458" s="43"/>
      <c r="I458" s="43"/>
      <c r="J458" s="36">
        <f t="shared" si="34"/>
      </c>
      <c r="K458" s="37">
        <f t="shared" si="35"/>
      </c>
      <c r="L458" s="69" t="s">
        <v>157</v>
      </c>
      <c r="M458" s="72"/>
      <c r="N458" s="73"/>
      <c r="O458" s="74"/>
      <c r="P458" s="75"/>
      <c r="Q458" s="76"/>
      <c r="S458" s="110"/>
      <c r="T458" s="12"/>
      <c r="U458" s="12"/>
      <c r="V458" s="12"/>
      <c r="W458" s="19"/>
      <c r="X458" s="111"/>
    </row>
    <row r="459" spans="1:24" ht="12.75" collapsed="1">
      <c r="A459" s="60"/>
      <c r="B459" s="61"/>
      <c r="C459" s="62"/>
      <c r="D459" s="65"/>
      <c r="E459" s="44"/>
      <c r="F459" s="33"/>
      <c r="G459" s="42"/>
      <c r="H459" s="43"/>
      <c r="I459" s="43"/>
      <c r="J459" s="36">
        <f t="shared" si="34"/>
      </c>
      <c r="K459" s="37">
        <f t="shared" si="35"/>
      </c>
      <c r="L459" s="31"/>
      <c r="M459" s="72"/>
      <c r="N459" s="73"/>
      <c r="O459" s="74"/>
      <c r="P459" s="75"/>
      <c r="Q459" s="76"/>
      <c r="S459" s="110"/>
      <c r="T459" s="12"/>
      <c r="U459" s="12"/>
      <c r="V459" s="12"/>
      <c r="W459" s="19"/>
      <c r="X459" s="111"/>
    </row>
    <row r="460" spans="1:24" ht="12.75">
      <c r="A460" s="60"/>
      <c r="B460" s="61"/>
      <c r="C460" s="62"/>
      <c r="D460" s="65"/>
      <c r="E460" s="44"/>
      <c r="F460" s="33"/>
      <c r="G460" s="42"/>
      <c r="H460" s="43"/>
      <c r="I460" s="43"/>
      <c r="J460" s="36">
        <f t="shared" si="34"/>
      </c>
      <c r="K460" s="37">
        <f t="shared" si="35"/>
      </c>
      <c r="L460" s="31"/>
      <c r="M460" s="72"/>
      <c r="N460" s="73"/>
      <c r="O460" s="74"/>
      <c r="P460" s="75"/>
      <c r="Q460" s="76"/>
      <c r="S460" s="110"/>
      <c r="T460" s="12"/>
      <c r="U460" s="12"/>
      <c r="V460" s="12"/>
      <c r="W460" s="19"/>
      <c r="X460" s="111"/>
    </row>
    <row r="461" spans="1:24" ht="38.25">
      <c r="A461" s="60"/>
      <c r="B461" s="61"/>
      <c r="C461" s="62"/>
      <c r="D461" s="65"/>
      <c r="E461" s="77" t="s">
        <v>163</v>
      </c>
      <c r="F461" s="33"/>
      <c r="G461" s="42"/>
      <c r="H461" s="43"/>
      <c r="I461" s="43"/>
      <c r="J461" s="36">
        <f t="shared" si="34"/>
      </c>
      <c r="K461" s="53">
        <f>SUM(K462:K469)</f>
        <v>8124.094</v>
      </c>
      <c r="L461" s="31"/>
      <c r="M461" s="72"/>
      <c r="N461" s="73"/>
      <c r="O461" s="74"/>
      <c r="P461" s="75"/>
      <c r="Q461" s="76"/>
      <c r="S461" s="110"/>
      <c r="T461" s="12"/>
      <c r="U461" s="12"/>
      <c r="V461" s="12"/>
      <c r="W461" s="19"/>
      <c r="X461" s="116" t="s">
        <v>264</v>
      </c>
    </row>
    <row r="462" spans="1:24" ht="12.75" hidden="1" outlineLevel="1">
      <c r="A462" s="60"/>
      <c r="B462" s="61"/>
      <c r="C462" s="62"/>
      <c r="D462" s="65"/>
      <c r="E462" s="44" t="s">
        <v>165</v>
      </c>
      <c r="F462" s="33">
        <v>1</v>
      </c>
      <c r="G462" s="42" t="s">
        <v>8</v>
      </c>
      <c r="H462" s="43"/>
      <c r="I462" s="43"/>
      <c r="J462" s="36">
        <v>6565.54</v>
      </c>
      <c r="K462" s="37">
        <f>+IF(F462="item",J462,IF(F462&lt;&gt;0,F462*J462,""))</f>
        <v>6565.54</v>
      </c>
      <c r="L462" s="31" t="s">
        <v>166</v>
      </c>
      <c r="M462" s="72"/>
      <c r="N462" s="73"/>
      <c r="O462" s="74"/>
      <c r="P462" s="75"/>
      <c r="Q462" s="76"/>
      <c r="S462" s="110"/>
      <c r="T462" s="12"/>
      <c r="U462" s="12"/>
      <c r="V462" s="12"/>
      <c r="W462" s="19"/>
      <c r="X462" s="111"/>
    </row>
    <row r="463" spans="1:24" ht="51" customHeight="1" hidden="1" outlineLevel="1">
      <c r="A463" s="60"/>
      <c r="B463" s="61"/>
      <c r="C463" s="62"/>
      <c r="D463" s="65"/>
      <c r="E463" s="44"/>
      <c r="F463" s="33"/>
      <c r="G463" s="42"/>
      <c r="H463" s="43"/>
      <c r="I463" s="43"/>
      <c r="J463" s="36">
        <f>IF(+I463+H463&gt;0,I463+(H463*labour),"")</f>
      </c>
      <c r="K463" s="37">
        <f>+IF(F463="item",J463,IF(F463&lt;&gt;0,F463*J463,""))</f>
      </c>
      <c r="L463" s="69" t="s">
        <v>164</v>
      </c>
      <c r="M463" s="72"/>
      <c r="N463" s="73"/>
      <c r="O463" s="74"/>
      <c r="P463" s="75"/>
      <c r="Q463" s="76"/>
      <c r="S463" s="110"/>
      <c r="T463" s="12"/>
      <c r="U463" s="12"/>
      <c r="V463" s="12"/>
      <c r="W463" s="19"/>
      <c r="X463" s="111"/>
    </row>
    <row r="464" spans="1:24" ht="12.75" hidden="1" outlineLevel="1">
      <c r="A464" s="60"/>
      <c r="B464" s="61"/>
      <c r="C464" s="62"/>
      <c r="D464" s="65"/>
      <c r="E464" s="44" t="s">
        <v>167</v>
      </c>
      <c r="F464" s="33" t="s">
        <v>1</v>
      </c>
      <c r="G464" s="42"/>
      <c r="H464" s="43">
        <v>24</v>
      </c>
      <c r="I464" s="43"/>
      <c r="J464" s="36">
        <f>IF(+I464+H464&gt;0,I464+(H464*labour),"")</f>
        <v>720</v>
      </c>
      <c r="K464" s="37">
        <f>+IF(F464="item",J464,IF(F464&lt;&gt;0,F464*J464,""))</f>
        <v>720</v>
      </c>
      <c r="L464" s="31" t="s">
        <v>168</v>
      </c>
      <c r="M464" s="72"/>
      <c r="N464" s="73"/>
      <c r="O464" s="74"/>
      <c r="P464" s="75"/>
      <c r="Q464" s="76"/>
      <c r="S464" s="110"/>
      <c r="T464" s="12"/>
      <c r="U464" s="12"/>
      <c r="V464" s="12"/>
      <c r="W464" s="19"/>
      <c r="X464" s="111"/>
    </row>
    <row r="465" spans="1:24" ht="12.75" hidden="1" outlineLevel="1">
      <c r="A465" s="60"/>
      <c r="B465" s="61"/>
      <c r="C465" s="62"/>
      <c r="D465" s="65"/>
      <c r="E465" s="44"/>
      <c r="F465" s="33"/>
      <c r="G465" s="42"/>
      <c r="H465" s="43"/>
      <c r="I465" s="43"/>
      <c r="J465" s="36">
        <f>IF(+I465+H465&gt;0,I465+(H465*labour),"")</f>
      </c>
      <c r="K465" s="37">
        <f>+IF(F465="item",J465,IF(F465&lt;&gt;0,F465*J465,""))</f>
      </c>
      <c r="L465" s="69" t="s">
        <v>169</v>
      </c>
      <c r="M465" s="72"/>
      <c r="N465" s="73"/>
      <c r="O465" s="74"/>
      <c r="P465" s="75"/>
      <c r="Q465" s="76"/>
      <c r="S465" s="110"/>
      <c r="T465" s="12"/>
      <c r="U465" s="12"/>
      <c r="V465" s="12"/>
      <c r="W465" s="19"/>
      <c r="X465" s="111"/>
    </row>
    <row r="466" spans="1:24" ht="12.75" hidden="1" outlineLevel="1">
      <c r="A466" s="60"/>
      <c r="B466" s="61"/>
      <c r="C466" s="62"/>
      <c r="D466" s="65"/>
      <c r="E466" s="44" t="s">
        <v>43</v>
      </c>
      <c r="F466" s="33" t="s">
        <v>1</v>
      </c>
      <c r="G466" s="42"/>
      <c r="H466" s="43"/>
      <c r="I466" s="43"/>
      <c r="J466" s="36">
        <v>100</v>
      </c>
      <c r="K466" s="37">
        <f>+IF(F466="item",J466,IF(F466&lt;&gt;0,F466*J466,""))</f>
        <v>100</v>
      </c>
      <c r="L466" s="31"/>
      <c r="M466" s="72"/>
      <c r="N466" s="73"/>
      <c r="O466" s="74"/>
      <c r="P466" s="75"/>
      <c r="Q466" s="76"/>
      <c r="S466" s="110"/>
      <c r="T466" s="12"/>
      <c r="U466" s="12"/>
      <c r="V466" s="12"/>
      <c r="W466" s="19"/>
      <c r="X466" s="111"/>
    </row>
    <row r="467" spans="1:24" ht="12.75" hidden="1" outlineLevel="1">
      <c r="A467" s="60"/>
      <c r="B467" s="61"/>
      <c r="C467" s="62"/>
      <c r="D467" s="65"/>
      <c r="E467" s="44"/>
      <c r="F467" s="33"/>
      <c r="G467" s="42"/>
      <c r="H467" s="43"/>
      <c r="I467" s="43"/>
      <c r="J467" s="36"/>
      <c r="K467" s="37"/>
      <c r="L467" s="31"/>
      <c r="M467" s="72"/>
      <c r="N467" s="73"/>
      <c r="O467" s="74"/>
      <c r="P467" s="75"/>
      <c r="Q467" s="76"/>
      <c r="S467" s="110"/>
      <c r="T467" s="12"/>
      <c r="U467" s="12"/>
      <c r="V467" s="12"/>
      <c r="W467" s="19"/>
      <c r="X467" s="111"/>
    </row>
    <row r="468" spans="1:24" ht="12.75" hidden="1" outlineLevel="1">
      <c r="A468" s="60"/>
      <c r="B468" s="61"/>
      <c r="C468" s="62"/>
      <c r="D468" s="65"/>
      <c r="E468" s="38" t="s">
        <v>362</v>
      </c>
      <c r="F468" s="33">
        <v>10</v>
      </c>
      <c r="G468" s="34" t="s">
        <v>363</v>
      </c>
      <c r="H468" s="39"/>
      <c r="I468" s="39"/>
      <c r="J468" s="36">
        <f>SUM(K462:K467)</f>
        <v>7385.54</v>
      </c>
      <c r="K468" s="37">
        <f>+J468*F468%</f>
        <v>738.5540000000001</v>
      </c>
      <c r="L468" s="31"/>
      <c r="M468" s="72"/>
      <c r="N468" s="73"/>
      <c r="O468" s="74"/>
      <c r="P468" s="75"/>
      <c r="Q468" s="76"/>
      <c r="S468" s="110"/>
      <c r="T468" s="12"/>
      <c r="U468" s="12"/>
      <c r="V468" s="12"/>
      <c r="W468" s="19"/>
      <c r="X468" s="111"/>
    </row>
    <row r="469" spans="1:24" ht="12.75" collapsed="1">
      <c r="A469" s="60"/>
      <c r="B469" s="61"/>
      <c r="C469" s="62"/>
      <c r="D469" s="65"/>
      <c r="E469" s="44"/>
      <c r="F469" s="33"/>
      <c r="G469" s="42"/>
      <c r="H469" s="43"/>
      <c r="I469" s="43"/>
      <c r="J469" s="36">
        <f>IF(+I469+H469&gt;0,I469+(H469*labour),"")</f>
      </c>
      <c r="K469" s="37">
        <f>+IF(F469="item",J469,IF(F469&lt;&gt;0,F469*J469,""))</f>
      </c>
      <c r="L469" s="31"/>
      <c r="M469" s="33"/>
      <c r="N469" s="42"/>
      <c r="O469" s="36"/>
      <c r="P469" s="37"/>
      <c r="Q469" s="54"/>
      <c r="S469" s="110"/>
      <c r="T469" s="12"/>
      <c r="U469" s="12"/>
      <c r="V469" s="12"/>
      <c r="W469" s="19"/>
      <c r="X469" s="111"/>
    </row>
    <row r="470" spans="1:24" ht="12.75">
      <c r="A470" s="60"/>
      <c r="B470" s="61"/>
      <c r="C470" s="62"/>
      <c r="D470" s="65"/>
      <c r="E470" s="77" t="s">
        <v>173</v>
      </c>
      <c r="F470" s="33"/>
      <c r="G470" s="42"/>
      <c r="H470" s="43"/>
      <c r="I470" s="43"/>
      <c r="J470" s="36"/>
      <c r="K470" s="53">
        <f>SUM(K471:K473)</f>
        <v>10000</v>
      </c>
      <c r="L470" s="31"/>
      <c r="M470" s="72"/>
      <c r="N470" s="73"/>
      <c r="O470" s="74"/>
      <c r="P470" s="75"/>
      <c r="Q470" s="76"/>
      <c r="S470" s="110"/>
      <c r="T470" s="12"/>
      <c r="U470" s="12"/>
      <c r="V470" s="12"/>
      <c r="W470" s="112">
        <f>SUM(W471:W473)</f>
        <v>500</v>
      </c>
      <c r="X470" s="111"/>
    </row>
    <row r="471" spans="1:24" ht="12.75">
      <c r="A471" s="60"/>
      <c r="B471" s="61"/>
      <c r="C471" s="62"/>
      <c r="D471" s="65"/>
      <c r="E471" s="77"/>
      <c r="F471" s="33"/>
      <c r="G471" s="42"/>
      <c r="H471" s="43"/>
      <c r="I471" s="43"/>
      <c r="J471" s="36"/>
      <c r="K471" s="37">
        <f>+IF(F471="item",J471,IF(F471&lt;&gt;0,F471*J471,""))</f>
      </c>
      <c r="L471" s="31"/>
      <c r="M471" s="72"/>
      <c r="N471" s="73"/>
      <c r="O471" s="74"/>
      <c r="P471" s="75"/>
      <c r="Q471" s="76"/>
      <c r="S471" s="113" t="s">
        <v>257</v>
      </c>
      <c r="T471" s="114">
        <f>+K470</f>
        <v>10000</v>
      </c>
      <c r="U471" s="12"/>
      <c r="V471" s="12">
        <v>20</v>
      </c>
      <c r="W471" s="19">
        <f>+T471/V471</f>
        <v>500</v>
      </c>
      <c r="X471" s="111"/>
    </row>
    <row r="472" spans="1:24" ht="12.75" hidden="1" outlineLevel="1">
      <c r="A472" s="60"/>
      <c r="B472" s="61"/>
      <c r="C472" s="62"/>
      <c r="D472" s="65"/>
      <c r="E472" s="44" t="s">
        <v>158</v>
      </c>
      <c r="F472" s="33">
        <v>1</v>
      </c>
      <c r="G472" s="42" t="s">
        <v>8</v>
      </c>
      <c r="H472" s="43"/>
      <c r="I472" s="43"/>
      <c r="J472" s="36">
        <v>10000</v>
      </c>
      <c r="K472" s="37">
        <f>+IF(F472="item",J472,IF(F472&lt;&gt;0,F472*J472,""))</f>
        <v>10000</v>
      </c>
      <c r="L472" s="31" t="s">
        <v>172</v>
      </c>
      <c r="M472" s="72"/>
      <c r="N472" s="73"/>
      <c r="O472" s="74"/>
      <c r="P472" s="75"/>
      <c r="Q472" s="76"/>
      <c r="S472" s="113" t="s">
        <v>251</v>
      </c>
      <c r="T472" s="12"/>
      <c r="U472" s="12"/>
      <c r="V472" s="12"/>
      <c r="W472" s="19"/>
      <c r="X472" s="111"/>
    </row>
    <row r="473" spans="1:24" ht="12.75" hidden="1" outlineLevel="1">
      <c r="A473" s="60"/>
      <c r="B473" s="61"/>
      <c r="C473" s="62"/>
      <c r="D473" s="65"/>
      <c r="E473" s="77"/>
      <c r="F473" s="33"/>
      <c r="G473" s="42"/>
      <c r="H473" s="43"/>
      <c r="I473" s="43"/>
      <c r="J473" s="36"/>
      <c r="K473" s="37">
        <f>+IF(F473="item",J473,IF(F473&lt;&gt;0,F473*J473,""))</f>
      </c>
      <c r="L473" s="31"/>
      <c r="M473" s="72"/>
      <c r="N473" s="73"/>
      <c r="O473" s="74"/>
      <c r="P473" s="75"/>
      <c r="Q473" s="76"/>
      <c r="S473" s="110" t="s">
        <v>277</v>
      </c>
      <c r="T473" s="12"/>
      <c r="U473" s="12" t="s">
        <v>269</v>
      </c>
      <c r="V473" s="12">
        <v>1</v>
      </c>
      <c r="W473" s="19"/>
      <c r="X473" s="111"/>
    </row>
    <row r="474" spans="1:24" ht="12.75" hidden="1" outlineLevel="1">
      <c r="A474" s="60"/>
      <c r="B474" s="61"/>
      <c r="C474" s="62"/>
      <c r="D474" s="65"/>
      <c r="E474" s="44"/>
      <c r="F474" s="33"/>
      <c r="G474" s="42"/>
      <c r="H474" s="43"/>
      <c r="I474" s="43"/>
      <c r="J474" s="36"/>
      <c r="K474" s="37"/>
      <c r="L474" s="31"/>
      <c r="M474" s="33"/>
      <c r="N474" s="42"/>
      <c r="O474" s="36"/>
      <c r="P474" s="37"/>
      <c r="Q474" s="54"/>
      <c r="S474" s="110" t="s">
        <v>270</v>
      </c>
      <c r="T474" s="12"/>
      <c r="U474" s="12" t="s">
        <v>269</v>
      </c>
      <c r="V474" s="12" t="s">
        <v>269</v>
      </c>
      <c r="W474" s="19"/>
      <c r="X474" s="111"/>
    </row>
    <row r="475" spans="1:24" ht="12.75" collapsed="1">
      <c r="A475" s="60"/>
      <c r="B475" s="61"/>
      <c r="C475" s="62"/>
      <c r="D475" s="65"/>
      <c r="E475" s="44"/>
      <c r="F475" s="33"/>
      <c r="G475" s="42"/>
      <c r="H475" s="43"/>
      <c r="I475" s="43"/>
      <c r="J475" s="36"/>
      <c r="K475" s="37"/>
      <c r="L475" s="31"/>
      <c r="M475" s="33"/>
      <c r="N475" s="42"/>
      <c r="O475" s="36"/>
      <c r="P475" s="37"/>
      <c r="Q475" s="54"/>
      <c r="S475" s="110" t="s">
        <v>278</v>
      </c>
      <c r="T475" s="12"/>
      <c r="U475" s="12" t="s">
        <v>269</v>
      </c>
      <c r="V475" s="12" t="s">
        <v>269</v>
      </c>
      <c r="W475" s="19"/>
      <c r="X475" s="111"/>
    </row>
    <row r="476" spans="1:24" ht="12.75">
      <c r="A476" s="60"/>
      <c r="B476" s="61"/>
      <c r="C476" s="62"/>
      <c r="D476" s="65"/>
      <c r="E476" s="44"/>
      <c r="F476" s="33"/>
      <c r="G476" s="42"/>
      <c r="H476" s="43"/>
      <c r="I476" s="43"/>
      <c r="J476" s="36"/>
      <c r="K476" s="37"/>
      <c r="L476" s="31"/>
      <c r="M476" s="33"/>
      <c r="N476" s="42"/>
      <c r="O476" s="36"/>
      <c r="P476" s="37"/>
      <c r="Q476" s="54"/>
      <c r="S476" s="110"/>
      <c r="T476" s="12"/>
      <c r="U476" s="12"/>
      <c r="V476" s="12"/>
      <c r="W476" s="19"/>
      <c r="X476" s="111"/>
    </row>
    <row r="477" spans="1:24" ht="12.75">
      <c r="A477" s="60"/>
      <c r="B477" s="61"/>
      <c r="C477" s="62"/>
      <c r="D477" s="65"/>
      <c r="E477" s="44"/>
      <c r="F477" s="33"/>
      <c r="G477" s="42"/>
      <c r="H477" s="43"/>
      <c r="I477" s="43"/>
      <c r="J477" s="36"/>
      <c r="K477" s="37"/>
      <c r="L477" s="31"/>
      <c r="M477" s="33"/>
      <c r="N477" s="42"/>
      <c r="O477" s="36"/>
      <c r="P477" s="37"/>
      <c r="Q477" s="54"/>
      <c r="S477" s="110"/>
      <c r="T477" s="12"/>
      <c r="U477" s="12"/>
      <c r="V477" s="12"/>
      <c r="W477" s="19"/>
      <c r="X477" s="111"/>
    </row>
    <row r="478" spans="1:24" ht="12.75">
      <c r="A478" s="60"/>
      <c r="B478" s="61"/>
      <c r="C478" s="62"/>
      <c r="D478" s="65"/>
      <c r="E478" s="44"/>
      <c r="F478" s="33"/>
      <c r="G478" s="42"/>
      <c r="H478" s="43"/>
      <c r="I478" s="43"/>
      <c r="J478" s="36"/>
      <c r="K478" s="37"/>
      <c r="L478" s="31"/>
      <c r="M478" s="33"/>
      <c r="N478" s="42"/>
      <c r="O478" s="36"/>
      <c r="P478" s="37"/>
      <c r="Q478" s="54"/>
      <c r="S478" s="110"/>
      <c r="T478" s="12"/>
      <c r="U478" s="12"/>
      <c r="V478" s="12"/>
      <c r="W478" s="19"/>
      <c r="X478" s="111"/>
    </row>
    <row r="479" spans="1:24" ht="12.75">
      <c r="A479" s="60"/>
      <c r="B479" s="61"/>
      <c r="C479" s="62"/>
      <c r="D479" s="65"/>
      <c r="E479" s="44"/>
      <c r="F479" s="33"/>
      <c r="G479" s="42"/>
      <c r="H479" s="43"/>
      <c r="I479" s="43"/>
      <c r="J479" s="36">
        <f>IF(+I479+H479&gt;0,I479+(H479*labour),"")</f>
      </c>
      <c r="K479" s="37">
        <f>+IF(F479="item",J479,IF(F479&lt;&gt;0,F479*J479,""))</f>
      </c>
      <c r="L479" s="31"/>
      <c r="M479" s="33"/>
      <c r="N479" s="42"/>
      <c r="O479" s="36"/>
      <c r="P479" s="37"/>
      <c r="Q479" s="54"/>
      <c r="S479" s="110"/>
      <c r="T479" s="12"/>
      <c r="U479" s="12"/>
      <c r="V479" s="12"/>
      <c r="W479" s="19"/>
      <c r="X479" s="111"/>
    </row>
    <row r="480" spans="1:24" ht="12.75">
      <c r="A480" s="60"/>
      <c r="B480" s="61"/>
      <c r="C480" s="62"/>
      <c r="D480" s="63"/>
      <c r="E480" s="46"/>
      <c r="F480" s="47"/>
      <c r="G480" s="48"/>
      <c r="H480" s="49"/>
      <c r="I480" s="49"/>
      <c r="J480" s="50"/>
      <c r="K480" s="51"/>
      <c r="L480" s="95"/>
      <c r="M480" s="16"/>
      <c r="N480" s="17"/>
      <c r="O480" s="23"/>
      <c r="P480" s="18"/>
      <c r="Q480" s="18"/>
      <c r="S480" s="123"/>
      <c r="T480" s="21"/>
      <c r="U480" s="21"/>
      <c r="V480" s="21"/>
      <c r="W480" s="20"/>
      <c r="X480" s="124"/>
    </row>
    <row r="481" spans="1:4" ht="12.75">
      <c r="A481" s="60"/>
      <c r="B481" s="61"/>
      <c r="C481" s="62"/>
      <c r="D481" s="63"/>
    </row>
    <row r="482" spans="1:4" ht="12.75">
      <c r="A482" s="60"/>
      <c r="B482" s="61"/>
      <c r="C482" s="62"/>
      <c r="D482" s="63"/>
    </row>
    <row r="483" spans="1:4" ht="12.75">
      <c r="A483" s="60"/>
      <c r="B483" s="61"/>
      <c r="C483" s="62"/>
      <c r="D483" s="63"/>
    </row>
    <row r="484" spans="1:4" ht="12.75">
      <c r="A484" s="60"/>
      <c r="B484" s="61"/>
      <c r="C484" s="62"/>
      <c r="D484" s="63"/>
    </row>
    <row r="485" spans="1:4" ht="12.75">
      <c r="A485" s="60"/>
      <c r="B485" s="61"/>
      <c r="C485" s="62"/>
      <c r="D485" s="63"/>
    </row>
    <row r="486" spans="1:4" ht="12.75">
      <c r="A486" s="60"/>
      <c r="B486" s="61"/>
      <c r="C486" s="62"/>
      <c r="D486" s="63"/>
    </row>
    <row r="487" spans="1:4" ht="12.75">
      <c r="A487" s="60"/>
      <c r="B487" s="61"/>
      <c r="C487" s="62"/>
      <c r="D487" s="63"/>
    </row>
    <row r="488" spans="1:4" ht="12.75">
      <c r="A488" s="60"/>
      <c r="B488" s="61"/>
      <c r="C488" s="62"/>
      <c r="D488" s="63"/>
    </row>
    <row r="489" spans="1:4" ht="12.75">
      <c r="A489" s="60"/>
      <c r="B489" s="61"/>
      <c r="C489" s="62"/>
      <c r="D489" s="63"/>
    </row>
    <row r="490" spans="1:4" ht="12.75">
      <c r="A490" s="60"/>
      <c r="B490" s="61"/>
      <c r="C490" s="62"/>
      <c r="D490" s="63"/>
    </row>
    <row r="491" spans="1:4" ht="12.75">
      <c r="A491" s="60"/>
      <c r="B491" s="61"/>
      <c r="C491" s="62"/>
      <c r="D491" s="63"/>
    </row>
    <row r="492" spans="1:4" ht="12.75">
      <c r="A492" s="60"/>
      <c r="B492" s="61"/>
      <c r="C492" s="62"/>
      <c r="D492" s="63"/>
    </row>
    <row r="493" spans="1:4" ht="12.75">
      <c r="A493" s="60"/>
      <c r="B493" s="61"/>
      <c r="C493" s="62"/>
      <c r="D493" s="63"/>
    </row>
    <row r="494" spans="1:4" ht="12.75">
      <c r="A494" s="60"/>
      <c r="B494" s="61"/>
      <c r="C494" s="62"/>
      <c r="D494" s="63"/>
    </row>
    <row r="495" spans="1:4" ht="12.75">
      <c r="A495" s="60"/>
      <c r="B495" s="61"/>
      <c r="C495" s="62"/>
      <c r="D495" s="63"/>
    </row>
    <row r="496" spans="1:4" ht="12.75">
      <c r="A496" s="60"/>
      <c r="B496" s="61"/>
      <c r="C496" s="62"/>
      <c r="D496" s="63"/>
    </row>
    <row r="497" spans="1:4" ht="12.75">
      <c r="A497" s="60"/>
      <c r="B497" s="61"/>
      <c r="C497" s="62"/>
      <c r="D497" s="63"/>
    </row>
    <row r="498" spans="1:4" ht="12.75">
      <c r="A498" s="60"/>
      <c r="B498" s="61"/>
      <c r="C498" s="62"/>
      <c r="D498" s="63"/>
    </row>
    <row r="499" spans="1:4" ht="12.75">
      <c r="A499" s="60"/>
      <c r="B499" s="61"/>
      <c r="C499" s="62"/>
      <c r="D499" s="63"/>
    </row>
    <row r="500" spans="1:4" ht="12.75">
      <c r="A500" s="60"/>
      <c r="B500" s="61"/>
      <c r="C500" s="62"/>
      <c r="D500" s="63"/>
    </row>
    <row r="501" spans="1:4" ht="12.75">
      <c r="A501" s="60"/>
      <c r="B501" s="61"/>
      <c r="C501" s="62"/>
      <c r="D501" s="63"/>
    </row>
    <row r="502" spans="1:4" ht="12.75">
      <c r="A502" s="60"/>
      <c r="B502" s="61"/>
      <c r="C502" s="62"/>
      <c r="D502" s="63"/>
    </row>
    <row r="503" spans="1:4" ht="12.75">
      <c r="A503" s="60"/>
      <c r="B503" s="61"/>
      <c r="C503" s="62"/>
      <c r="D503" s="63"/>
    </row>
    <row r="504" spans="1:4" ht="12.75">
      <c r="A504" s="60"/>
      <c r="B504" s="61"/>
      <c r="C504" s="62"/>
      <c r="D504" s="63"/>
    </row>
    <row r="505" spans="1:4" ht="12.75">
      <c r="A505" s="60"/>
      <c r="B505" s="61"/>
      <c r="C505" s="62"/>
      <c r="D505" s="63"/>
    </row>
    <row r="506" spans="1:4" ht="12.75">
      <c r="A506" s="60"/>
      <c r="B506" s="61"/>
      <c r="C506" s="62"/>
      <c r="D506" s="63"/>
    </row>
    <row r="507" spans="1:4" ht="12.75">
      <c r="A507" s="60"/>
      <c r="B507" s="61"/>
      <c r="C507" s="62"/>
      <c r="D507" s="63"/>
    </row>
    <row r="508" spans="1:4" ht="12.75">
      <c r="A508" s="60"/>
      <c r="B508" s="61"/>
      <c r="C508" s="62"/>
      <c r="D508" s="63"/>
    </row>
    <row r="509" spans="1:4" ht="12.75">
      <c r="A509" s="60"/>
      <c r="B509" s="61"/>
      <c r="C509" s="62"/>
      <c r="D509" s="63"/>
    </row>
    <row r="510" spans="1:4" ht="12.75">
      <c r="A510" s="60"/>
      <c r="B510" s="61"/>
      <c r="C510" s="62"/>
      <c r="D510" s="63"/>
    </row>
    <row r="511" spans="1:4" ht="12.75">
      <c r="A511" s="60"/>
      <c r="B511" s="61"/>
      <c r="C511" s="62"/>
      <c r="D511" s="63"/>
    </row>
    <row r="512" spans="1:4" ht="12.75">
      <c r="A512" s="60"/>
      <c r="B512" s="61"/>
      <c r="C512" s="62"/>
      <c r="D512" s="63"/>
    </row>
    <row r="513" spans="1:4" ht="12.75">
      <c r="A513" s="60"/>
      <c r="B513" s="61"/>
      <c r="C513" s="62"/>
      <c r="D513" s="63"/>
    </row>
    <row r="514" spans="1:4" ht="12.75">
      <c r="A514" s="60"/>
      <c r="B514" s="61"/>
      <c r="C514" s="62"/>
      <c r="D514" s="63"/>
    </row>
    <row r="515" spans="1:4" ht="12.75">
      <c r="A515" s="60"/>
      <c r="B515" s="61"/>
      <c r="C515" s="62"/>
      <c r="D515" s="63"/>
    </row>
    <row r="516" spans="1:4" ht="12.75">
      <c r="A516" s="60"/>
      <c r="B516" s="61"/>
      <c r="C516" s="62"/>
      <c r="D516" s="63"/>
    </row>
    <row r="517" spans="1:4" ht="12.75">
      <c r="A517" s="60"/>
      <c r="B517" s="61"/>
      <c r="C517" s="62"/>
      <c r="D517" s="63"/>
    </row>
    <row r="518" spans="1:4" ht="12.75">
      <c r="A518" s="60"/>
      <c r="B518" s="61"/>
      <c r="C518" s="62"/>
      <c r="D518" s="63"/>
    </row>
    <row r="519" spans="1:4" ht="12.75">
      <c r="A519" s="60"/>
      <c r="B519" s="61"/>
      <c r="C519" s="62"/>
      <c r="D519" s="63"/>
    </row>
    <row r="520" spans="1:4" ht="12.75">
      <c r="A520" s="60"/>
      <c r="B520" s="61"/>
      <c r="C520" s="62"/>
      <c r="D520" s="63"/>
    </row>
    <row r="521" spans="1:4" ht="12.75">
      <c r="A521" s="60"/>
      <c r="B521" s="61"/>
      <c r="C521" s="62"/>
      <c r="D521" s="63"/>
    </row>
    <row r="522" spans="1:4" ht="12.75">
      <c r="A522" s="60"/>
      <c r="B522" s="61"/>
      <c r="C522" s="62"/>
      <c r="D522" s="63"/>
    </row>
    <row r="523" spans="1:4" ht="12.75">
      <c r="A523" s="60"/>
      <c r="B523" s="61"/>
      <c r="C523" s="62"/>
      <c r="D523" s="63"/>
    </row>
    <row r="524" spans="1:4" ht="12.75">
      <c r="A524" s="60"/>
      <c r="B524" s="61"/>
      <c r="C524" s="62"/>
      <c r="D524" s="63"/>
    </row>
    <row r="525" spans="1:4" ht="12.75">
      <c r="A525" s="60"/>
      <c r="B525" s="61"/>
      <c r="C525" s="62"/>
      <c r="D525" s="63"/>
    </row>
    <row r="526" spans="1:4" ht="12.75">
      <c r="A526" s="60"/>
      <c r="B526" s="61"/>
      <c r="C526" s="62"/>
      <c r="D526" s="63"/>
    </row>
    <row r="527" spans="1:4" ht="12.75">
      <c r="A527" s="60"/>
      <c r="B527" s="61"/>
      <c r="C527" s="62"/>
      <c r="D527" s="63"/>
    </row>
    <row r="528" spans="1:4" ht="12.75">
      <c r="A528" s="60"/>
      <c r="B528" s="61"/>
      <c r="C528" s="62"/>
      <c r="D528" s="63"/>
    </row>
    <row r="529" spans="1:4" ht="12.75">
      <c r="A529" s="60"/>
      <c r="B529" s="61"/>
      <c r="C529" s="62"/>
      <c r="D529" s="63"/>
    </row>
    <row r="530" spans="1:4" ht="12.75">
      <c r="A530" s="60"/>
      <c r="B530" s="61"/>
      <c r="C530" s="62"/>
      <c r="D530" s="63"/>
    </row>
    <row r="531" spans="1:4" ht="12.75">
      <c r="A531" s="60"/>
      <c r="B531" s="61"/>
      <c r="C531" s="62"/>
      <c r="D531" s="63"/>
    </row>
    <row r="532" spans="1:4" ht="12.75">
      <c r="A532" s="60"/>
      <c r="B532" s="61"/>
      <c r="C532" s="62"/>
      <c r="D532" s="63"/>
    </row>
    <row r="533" spans="1:4" ht="12.75">
      <c r="A533" s="60"/>
      <c r="B533" s="61"/>
      <c r="C533" s="62"/>
      <c r="D533" s="63"/>
    </row>
    <row r="534" spans="1:4" ht="12.75">
      <c r="A534" s="60"/>
      <c r="B534" s="61"/>
      <c r="C534" s="62"/>
      <c r="D534" s="63"/>
    </row>
    <row r="535" spans="1:4" ht="12.75">
      <c r="A535" s="60"/>
      <c r="B535" s="61"/>
      <c r="C535" s="62"/>
      <c r="D535" s="63"/>
    </row>
    <row r="536" spans="1:4" ht="12.75">
      <c r="A536" s="60"/>
      <c r="B536" s="61"/>
      <c r="C536" s="62"/>
      <c r="D536" s="63"/>
    </row>
    <row r="537" spans="1:4" ht="12.75">
      <c r="A537" s="60"/>
      <c r="B537" s="61"/>
      <c r="C537" s="62"/>
      <c r="D537" s="63"/>
    </row>
    <row r="538" spans="1:4" ht="12.75">
      <c r="A538" s="60"/>
      <c r="B538" s="61"/>
      <c r="C538" s="62"/>
      <c r="D538" s="63"/>
    </row>
    <row r="539" spans="1:4" ht="12.75">
      <c r="A539" s="60"/>
      <c r="B539" s="61"/>
      <c r="C539" s="62"/>
      <c r="D539" s="63"/>
    </row>
    <row r="540" spans="1:4" ht="12.75">
      <c r="A540" s="60"/>
      <c r="B540" s="61"/>
      <c r="C540" s="62"/>
      <c r="D540" s="63"/>
    </row>
    <row r="541" spans="1:4" ht="12.75">
      <c r="A541" s="60"/>
      <c r="B541" s="61"/>
      <c r="C541" s="62"/>
      <c r="D541" s="63"/>
    </row>
    <row r="542" spans="1:4" ht="12.75">
      <c r="A542" s="60"/>
      <c r="B542" s="61"/>
      <c r="C542" s="62"/>
      <c r="D542" s="63"/>
    </row>
    <row r="543" spans="1:4" ht="12.75">
      <c r="A543" s="60"/>
      <c r="B543" s="61"/>
      <c r="C543" s="62"/>
      <c r="D543" s="63"/>
    </row>
    <row r="544" spans="1:4" ht="12.75">
      <c r="A544" s="60"/>
      <c r="B544" s="61"/>
      <c r="C544" s="62"/>
      <c r="D544" s="63"/>
    </row>
    <row r="545" spans="1:4" ht="12.75">
      <c r="A545" s="60"/>
      <c r="B545" s="61"/>
      <c r="C545" s="62"/>
      <c r="D545" s="63"/>
    </row>
    <row r="546" spans="1:4" ht="12.75">
      <c r="A546" s="60"/>
      <c r="B546" s="61"/>
      <c r="C546" s="62"/>
      <c r="D546" s="63"/>
    </row>
    <row r="547" spans="1:4" ht="12.75">
      <c r="A547" s="60"/>
      <c r="B547" s="61"/>
      <c r="C547" s="62"/>
      <c r="D547" s="63"/>
    </row>
    <row r="548" spans="1:4" ht="12.75">
      <c r="A548" s="60"/>
      <c r="B548" s="61"/>
      <c r="C548" s="62"/>
      <c r="D548" s="63"/>
    </row>
    <row r="549" spans="1:4" ht="12.75">
      <c r="A549" s="60"/>
      <c r="B549" s="61"/>
      <c r="C549" s="62"/>
      <c r="D549" s="63"/>
    </row>
    <row r="550" spans="1:4" ht="12.75">
      <c r="A550" s="60"/>
      <c r="B550" s="61"/>
      <c r="C550" s="62"/>
      <c r="D550" s="63"/>
    </row>
    <row r="551" spans="1:4" ht="12.75">
      <c r="A551" s="60"/>
      <c r="B551" s="61"/>
      <c r="C551" s="62"/>
      <c r="D551" s="63"/>
    </row>
    <row r="552" spans="1:4" ht="12.75">
      <c r="A552" s="60"/>
      <c r="B552" s="61"/>
      <c r="C552" s="62"/>
      <c r="D552" s="63"/>
    </row>
    <row r="553" spans="1:4" ht="12.75">
      <c r="A553" s="60"/>
      <c r="B553" s="61"/>
      <c r="C553" s="62"/>
      <c r="D553" s="63"/>
    </row>
    <row r="554" spans="1:4" ht="12.75">
      <c r="A554" s="60"/>
      <c r="B554" s="61"/>
      <c r="C554" s="62"/>
      <c r="D554" s="63"/>
    </row>
    <row r="555" spans="1:4" ht="12.75">
      <c r="A555" s="60"/>
      <c r="B555" s="61"/>
      <c r="C555" s="62"/>
      <c r="D555" s="63"/>
    </row>
    <row r="556" spans="1:4" ht="12.75">
      <c r="A556" s="60"/>
      <c r="B556" s="61"/>
      <c r="C556" s="62"/>
      <c r="D556" s="63"/>
    </row>
    <row r="557" spans="1:4" ht="12.75">
      <c r="A557" s="60"/>
      <c r="B557" s="61"/>
      <c r="C557" s="62"/>
      <c r="D557" s="63"/>
    </row>
    <row r="558" spans="1:4" ht="12.75">
      <c r="A558" s="60"/>
      <c r="B558" s="61"/>
      <c r="C558" s="62"/>
      <c r="D558" s="63"/>
    </row>
    <row r="559" spans="1:4" ht="12.75">
      <c r="A559" s="60"/>
      <c r="B559" s="61"/>
      <c r="C559" s="62"/>
      <c r="D559" s="63"/>
    </row>
    <row r="560" spans="1:4" ht="12.75">
      <c r="A560" s="60"/>
      <c r="B560" s="61"/>
      <c r="C560" s="62"/>
      <c r="D560" s="63"/>
    </row>
    <row r="561" spans="1:4" ht="12.75">
      <c r="A561" s="60"/>
      <c r="B561" s="61"/>
      <c r="C561" s="62"/>
      <c r="D561" s="63"/>
    </row>
    <row r="562" spans="1:4" ht="12.75">
      <c r="A562" s="60"/>
      <c r="B562" s="61"/>
      <c r="C562" s="62"/>
      <c r="D562" s="63"/>
    </row>
    <row r="563" spans="1:4" ht="12.75">
      <c r="A563" s="60"/>
      <c r="B563" s="61"/>
      <c r="C563" s="62"/>
      <c r="D563" s="63"/>
    </row>
    <row r="564" spans="1:4" ht="12.75">
      <c r="A564" s="60"/>
      <c r="B564" s="61"/>
      <c r="C564" s="62"/>
      <c r="D564" s="63"/>
    </row>
    <row r="565" spans="1:4" ht="12.75">
      <c r="A565" s="60"/>
      <c r="B565" s="61"/>
      <c r="C565" s="62"/>
      <c r="D565" s="63"/>
    </row>
    <row r="566" spans="1:4" ht="12.75">
      <c r="A566" s="60"/>
      <c r="B566" s="61"/>
      <c r="C566" s="62"/>
      <c r="D566" s="63"/>
    </row>
    <row r="567" spans="1:4" ht="12.75">
      <c r="A567" s="60"/>
      <c r="B567" s="61"/>
      <c r="C567" s="62"/>
      <c r="D567" s="63"/>
    </row>
    <row r="568" spans="1:4" ht="12.75">
      <c r="A568" s="60"/>
      <c r="B568" s="61"/>
      <c r="C568" s="62"/>
      <c r="D568" s="63"/>
    </row>
    <row r="569" spans="1:4" ht="12.75">
      <c r="A569" s="60"/>
      <c r="B569" s="61"/>
      <c r="C569" s="62"/>
      <c r="D569" s="63"/>
    </row>
    <row r="570" spans="1:4" ht="12.75">
      <c r="A570" s="60"/>
      <c r="B570" s="61"/>
      <c r="C570" s="62"/>
      <c r="D570" s="63"/>
    </row>
    <row r="571" spans="1:4" ht="12.75">
      <c r="A571" s="60"/>
      <c r="B571" s="61"/>
      <c r="C571" s="62"/>
      <c r="D571" s="63"/>
    </row>
    <row r="572" spans="1:4" ht="12.75">
      <c r="A572" s="60"/>
      <c r="B572" s="61"/>
      <c r="C572" s="62"/>
      <c r="D572" s="63"/>
    </row>
    <row r="573" spans="1:4" ht="12.75">
      <c r="A573" s="60"/>
      <c r="B573" s="61"/>
      <c r="C573" s="62"/>
      <c r="D573" s="63"/>
    </row>
    <row r="574" spans="1:4" ht="12.75">
      <c r="A574" s="60"/>
      <c r="B574" s="61"/>
      <c r="C574" s="62"/>
      <c r="D574" s="63"/>
    </row>
    <row r="575" spans="1:4" ht="12.75">
      <c r="A575" s="60"/>
      <c r="B575" s="61"/>
      <c r="C575" s="62"/>
      <c r="D575" s="63"/>
    </row>
    <row r="576" spans="1:4" ht="12.75">
      <c r="A576" s="60"/>
      <c r="B576" s="61"/>
      <c r="C576" s="62"/>
      <c r="D576" s="63"/>
    </row>
    <row r="577" spans="1:4" ht="12.75">
      <c r="A577" s="60"/>
      <c r="B577" s="61"/>
      <c r="C577" s="62"/>
      <c r="D577" s="63"/>
    </row>
    <row r="578" spans="1:4" ht="12.75">
      <c r="A578" s="60"/>
      <c r="B578" s="61"/>
      <c r="C578" s="62"/>
      <c r="D578" s="63"/>
    </row>
    <row r="579" spans="1:4" ht="12.75">
      <c r="A579" s="60"/>
      <c r="B579" s="61"/>
      <c r="C579" s="62"/>
      <c r="D579" s="63"/>
    </row>
    <row r="580" spans="1:4" ht="12.75">
      <c r="A580" s="60"/>
      <c r="B580" s="61"/>
      <c r="C580" s="62"/>
      <c r="D580" s="63"/>
    </row>
    <row r="581" spans="1:4" ht="12.75">
      <c r="A581" s="60"/>
      <c r="B581" s="61"/>
      <c r="C581" s="62"/>
      <c r="D581" s="63"/>
    </row>
    <row r="582" spans="1:4" ht="12.75">
      <c r="A582" s="60"/>
      <c r="B582" s="61"/>
      <c r="C582" s="62"/>
      <c r="D582" s="63"/>
    </row>
    <row r="583" spans="1:4" ht="12.75">
      <c r="A583" s="60"/>
      <c r="B583" s="61"/>
      <c r="C583" s="62"/>
      <c r="D583" s="63"/>
    </row>
    <row r="584" spans="1:4" ht="12.75">
      <c r="A584" s="60"/>
      <c r="B584" s="61"/>
      <c r="C584" s="62"/>
      <c r="D584" s="63"/>
    </row>
    <row r="585" spans="1:4" ht="12.75">
      <c r="A585" s="60"/>
      <c r="B585" s="61"/>
      <c r="C585" s="62"/>
      <c r="D585" s="63"/>
    </row>
    <row r="586" spans="1:4" ht="12.75">
      <c r="A586" s="60"/>
      <c r="B586" s="61"/>
      <c r="C586" s="62"/>
      <c r="D586" s="63"/>
    </row>
    <row r="587" spans="1:4" ht="12.75">
      <c r="A587" s="60"/>
      <c r="B587" s="61"/>
      <c r="C587" s="62"/>
      <c r="D587" s="63"/>
    </row>
    <row r="588" spans="1:4" ht="12.75">
      <c r="A588" s="60"/>
      <c r="B588" s="61"/>
      <c r="C588" s="62"/>
      <c r="D588" s="63"/>
    </row>
    <row r="589" spans="1:4" ht="12.75">
      <c r="A589" s="60"/>
      <c r="B589" s="61"/>
      <c r="C589" s="62"/>
      <c r="D589" s="63"/>
    </row>
    <row r="590" spans="1:4" ht="12.75">
      <c r="A590" s="60"/>
      <c r="B590" s="61"/>
      <c r="C590" s="62"/>
      <c r="D590" s="63"/>
    </row>
    <row r="591" spans="1:4" ht="12.75">
      <c r="A591" s="60"/>
      <c r="B591" s="61"/>
      <c r="C591" s="62"/>
      <c r="D591" s="63"/>
    </row>
    <row r="592" spans="1:4" ht="12.75">
      <c r="A592" s="60"/>
      <c r="B592" s="61"/>
      <c r="C592" s="62"/>
      <c r="D592" s="63"/>
    </row>
    <row r="593" spans="1:4" ht="12.75">
      <c r="A593" s="60"/>
      <c r="B593" s="61"/>
      <c r="C593" s="62"/>
      <c r="D593" s="63"/>
    </row>
    <row r="594" spans="1:4" ht="12.75">
      <c r="A594" s="60"/>
      <c r="B594" s="61"/>
      <c r="C594" s="62"/>
      <c r="D594" s="63"/>
    </row>
    <row r="595" spans="1:4" ht="12.75">
      <c r="A595" s="60"/>
      <c r="B595" s="61"/>
      <c r="C595" s="62"/>
      <c r="D595" s="63"/>
    </row>
    <row r="596" spans="1:4" ht="12.75">
      <c r="A596" s="60"/>
      <c r="B596" s="61"/>
      <c r="C596" s="62"/>
      <c r="D596" s="63"/>
    </row>
    <row r="597" spans="1:4" ht="12.75">
      <c r="A597" s="60"/>
      <c r="B597" s="61"/>
      <c r="C597" s="62"/>
      <c r="D597" s="63"/>
    </row>
    <row r="598" spans="1:4" ht="12.75">
      <c r="A598" s="60"/>
      <c r="B598" s="61"/>
      <c r="C598" s="62"/>
      <c r="D598" s="63"/>
    </row>
    <row r="599" spans="1:4" ht="12.75">
      <c r="A599" s="60"/>
      <c r="B599" s="61"/>
      <c r="C599" s="62"/>
      <c r="D599" s="63"/>
    </row>
    <row r="600" spans="1:4" ht="12.75">
      <c r="A600" s="60"/>
      <c r="B600" s="61"/>
      <c r="C600" s="62"/>
      <c r="D600" s="63"/>
    </row>
    <row r="601" spans="1:4" ht="12.75">
      <c r="A601" s="60"/>
      <c r="B601" s="61"/>
      <c r="C601" s="62"/>
      <c r="D601" s="63"/>
    </row>
    <row r="602" spans="1:4" ht="12.75">
      <c r="A602" s="60"/>
      <c r="B602" s="61"/>
      <c r="C602" s="62"/>
      <c r="D602" s="63"/>
    </row>
    <row r="603" spans="1:4" ht="12.75">
      <c r="A603" s="60"/>
      <c r="B603" s="61"/>
      <c r="C603" s="62"/>
      <c r="D603" s="63"/>
    </row>
    <row r="604" spans="1:4" ht="12.75">
      <c r="A604" s="60"/>
      <c r="B604" s="61"/>
      <c r="C604" s="62"/>
      <c r="D604" s="63"/>
    </row>
    <row r="605" spans="1:4" ht="12.75">
      <c r="A605" s="60"/>
      <c r="B605" s="61"/>
      <c r="C605" s="62"/>
      <c r="D605" s="63"/>
    </row>
    <row r="606" spans="1:4" ht="12.75">
      <c r="A606" s="60"/>
      <c r="B606" s="61"/>
      <c r="C606" s="62"/>
      <c r="D606" s="63"/>
    </row>
    <row r="607" spans="1:4" ht="12.75">
      <c r="A607" s="60"/>
      <c r="B607" s="61"/>
      <c r="C607" s="62"/>
      <c r="D607" s="63"/>
    </row>
    <row r="608" spans="1:4" ht="12.75">
      <c r="A608" s="60"/>
      <c r="B608" s="61"/>
      <c r="C608" s="62"/>
      <c r="D608" s="63"/>
    </row>
    <row r="609" spans="1:4" ht="12.75">
      <c r="A609" s="60"/>
      <c r="B609" s="61"/>
      <c r="C609" s="62"/>
      <c r="D609" s="63"/>
    </row>
    <row r="610" spans="1:4" ht="12.75">
      <c r="A610" s="60"/>
      <c r="B610" s="61"/>
      <c r="C610" s="62"/>
      <c r="D610" s="63"/>
    </row>
    <row r="611" spans="1:4" ht="12.75">
      <c r="A611" s="60"/>
      <c r="B611" s="61"/>
      <c r="C611" s="62"/>
      <c r="D611" s="63"/>
    </row>
    <row r="612" spans="1:4" ht="12.75">
      <c r="A612" s="60"/>
      <c r="B612" s="61"/>
      <c r="C612" s="62"/>
      <c r="D612" s="63"/>
    </row>
    <row r="613" spans="1:4" ht="12.75">
      <c r="A613" s="60"/>
      <c r="B613" s="61"/>
      <c r="C613" s="62"/>
      <c r="D613" s="63"/>
    </row>
    <row r="614" spans="1:4" ht="12.75">
      <c r="A614" s="60"/>
      <c r="B614" s="61"/>
      <c r="C614" s="62"/>
      <c r="D614" s="63"/>
    </row>
    <row r="615" spans="1:4" ht="12.75">
      <c r="A615" s="60"/>
      <c r="B615" s="61"/>
      <c r="C615" s="62"/>
      <c r="D615" s="63"/>
    </row>
    <row r="616" spans="1:4" ht="12.75">
      <c r="A616" s="60"/>
      <c r="B616" s="61"/>
      <c r="C616" s="62"/>
      <c r="D616" s="63"/>
    </row>
    <row r="617" spans="1:4" ht="12.75">
      <c r="A617" s="60"/>
      <c r="B617" s="61"/>
      <c r="C617" s="62"/>
      <c r="D617" s="63"/>
    </row>
    <row r="618" spans="1:4" ht="12.75">
      <c r="A618" s="60"/>
      <c r="B618" s="61"/>
      <c r="C618" s="62"/>
      <c r="D618" s="63"/>
    </row>
    <row r="619" spans="1:4" ht="12.75">
      <c r="A619" s="60"/>
      <c r="B619" s="61"/>
      <c r="C619" s="62"/>
      <c r="D619" s="63"/>
    </row>
    <row r="620" spans="1:4" ht="12.75">
      <c r="A620" s="60"/>
      <c r="B620" s="61"/>
      <c r="C620" s="62"/>
      <c r="D620" s="63"/>
    </row>
    <row r="621" spans="1:4" ht="12.75">
      <c r="A621" s="60"/>
      <c r="B621" s="61"/>
      <c r="C621" s="62"/>
      <c r="D621" s="63"/>
    </row>
    <row r="622" spans="1:4" ht="12.75">
      <c r="A622" s="60"/>
      <c r="B622" s="61"/>
      <c r="C622" s="62"/>
      <c r="D622" s="63"/>
    </row>
    <row r="623" spans="1:4" ht="12.75">
      <c r="A623" s="60"/>
      <c r="B623" s="61"/>
      <c r="C623" s="62"/>
      <c r="D623" s="63"/>
    </row>
    <row r="624" spans="1:4" ht="12.75">
      <c r="A624" s="60"/>
      <c r="B624" s="61"/>
      <c r="C624" s="62"/>
      <c r="D624" s="63"/>
    </row>
    <row r="625" spans="1:4" ht="12.75">
      <c r="A625" s="60"/>
      <c r="B625" s="61"/>
      <c r="C625" s="62"/>
      <c r="D625" s="63"/>
    </row>
    <row r="626" spans="1:4" ht="12.75">
      <c r="A626" s="60"/>
      <c r="B626" s="61"/>
      <c r="C626" s="62"/>
      <c r="D626" s="63"/>
    </row>
    <row r="627" spans="1:4" ht="12.75">
      <c r="A627" s="60"/>
      <c r="B627" s="61"/>
      <c r="C627" s="62"/>
      <c r="D627" s="63"/>
    </row>
    <row r="628" spans="1:4" ht="12.75">
      <c r="A628" s="60"/>
      <c r="B628" s="61"/>
      <c r="C628" s="62"/>
      <c r="D628" s="63"/>
    </row>
    <row r="629" spans="1:4" ht="12.75">
      <c r="A629" s="60"/>
      <c r="B629" s="61"/>
      <c r="C629" s="62"/>
      <c r="D629" s="63"/>
    </row>
    <row r="630" spans="1:4" ht="12.75">
      <c r="A630" s="60"/>
      <c r="B630" s="61"/>
      <c r="C630" s="62"/>
      <c r="D630" s="63"/>
    </row>
    <row r="631" spans="1:4" ht="12.75">
      <c r="A631" s="60"/>
      <c r="B631" s="61"/>
      <c r="C631" s="62"/>
      <c r="D631" s="63"/>
    </row>
    <row r="632" spans="1:4" ht="12.75">
      <c r="A632" s="60"/>
      <c r="B632" s="61"/>
      <c r="C632" s="62"/>
      <c r="D632" s="63"/>
    </row>
    <row r="633" spans="1:4" ht="12.75">
      <c r="A633" s="60"/>
      <c r="B633" s="61"/>
      <c r="C633" s="62"/>
      <c r="D633" s="63"/>
    </row>
    <row r="634" spans="1:4" ht="12.75">
      <c r="A634" s="60"/>
      <c r="B634" s="61"/>
      <c r="C634" s="62"/>
      <c r="D634" s="63"/>
    </row>
    <row r="635" spans="1:4" ht="12.75">
      <c r="A635" s="60"/>
      <c r="B635" s="61"/>
      <c r="C635" s="62"/>
      <c r="D635" s="63"/>
    </row>
    <row r="636" spans="1:4" ht="12.75">
      <c r="A636" s="60"/>
      <c r="B636" s="61"/>
      <c r="C636" s="62"/>
      <c r="D636" s="63"/>
    </row>
    <row r="637" spans="1:4" ht="12.75">
      <c r="A637" s="60"/>
      <c r="B637" s="61"/>
      <c r="C637" s="62"/>
      <c r="D637" s="63"/>
    </row>
    <row r="638" spans="1:4" ht="12.75">
      <c r="A638" s="60"/>
      <c r="B638" s="61"/>
      <c r="C638" s="62"/>
      <c r="D638" s="63"/>
    </row>
    <row r="639" spans="1:4" ht="12.75">
      <c r="A639" s="60"/>
      <c r="B639" s="61"/>
      <c r="C639" s="62"/>
      <c r="D639" s="63"/>
    </row>
    <row r="640" spans="1:4" ht="12.75">
      <c r="A640" s="60"/>
      <c r="B640" s="61"/>
      <c r="C640" s="62"/>
      <c r="D640" s="63"/>
    </row>
    <row r="641" spans="1:4" ht="12.75">
      <c r="A641" s="60"/>
      <c r="B641" s="61"/>
      <c r="C641" s="62"/>
      <c r="D641" s="63"/>
    </row>
    <row r="642" spans="1:4" ht="12.75">
      <c r="A642" s="60"/>
      <c r="B642" s="61"/>
      <c r="C642" s="62"/>
      <c r="D642" s="63"/>
    </row>
    <row r="643" spans="1:4" ht="12.75">
      <c r="A643" s="60"/>
      <c r="B643" s="61"/>
      <c r="C643" s="62"/>
      <c r="D643" s="63"/>
    </row>
    <row r="644" spans="1:4" ht="12.75">
      <c r="A644" s="60"/>
      <c r="B644" s="61"/>
      <c r="C644" s="62"/>
      <c r="D644" s="63"/>
    </row>
    <row r="645" spans="1:4" ht="12.75">
      <c r="A645" s="60"/>
      <c r="B645" s="61"/>
      <c r="C645" s="62"/>
      <c r="D645" s="63"/>
    </row>
    <row r="646" spans="1:4" ht="12.75">
      <c r="A646" s="60"/>
      <c r="B646" s="61"/>
      <c r="C646" s="62"/>
      <c r="D646" s="63"/>
    </row>
    <row r="647" spans="1:4" ht="12.75">
      <c r="A647" s="60"/>
      <c r="B647" s="61"/>
      <c r="C647" s="62"/>
      <c r="D647" s="63"/>
    </row>
    <row r="648" spans="1:4" ht="12.75">
      <c r="A648" s="60"/>
      <c r="B648" s="61"/>
      <c r="C648" s="62"/>
      <c r="D648" s="63"/>
    </row>
    <row r="649" spans="1:4" ht="12.75">
      <c r="A649" s="60"/>
      <c r="B649" s="61"/>
      <c r="C649" s="62"/>
      <c r="D649" s="63"/>
    </row>
    <row r="650" spans="1:4" ht="12.75">
      <c r="A650" s="60"/>
      <c r="B650" s="61"/>
      <c r="C650" s="62"/>
      <c r="D650" s="63"/>
    </row>
    <row r="651" spans="1:4" ht="12.75">
      <c r="A651" s="60"/>
      <c r="B651" s="61"/>
      <c r="C651" s="62"/>
      <c r="D651" s="63"/>
    </row>
    <row r="652" spans="1:4" ht="12.75">
      <c r="A652" s="60"/>
      <c r="B652" s="61"/>
      <c r="C652" s="62"/>
      <c r="D652" s="63"/>
    </row>
    <row r="653" spans="1:4" ht="12.75">
      <c r="A653" s="60"/>
      <c r="B653" s="61"/>
      <c r="C653" s="62"/>
      <c r="D653" s="63"/>
    </row>
    <row r="654" spans="1:4" ht="12.75">
      <c r="A654" s="60"/>
      <c r="B654" s="61"/>
      <c r="C654" s="62"/>
      <c r="D654" s="63"/>
    </row>
    <row r="655" spans="1:4" ht="12.75">
      <c r="A655" s="60"/>
      <c r="B655" s="61"/>
      <c r="C655" s="62"/>
      <c r="D655" s="63"/>
    </row>
    <row r="656" spans="1:4" ht="12.75">
      <c r="A656" s="60"/>
      <c r="B656" s="61"/>
      <c r="C656" s="62"/>
      <c r="D656" s="63"/>
    </row>
    <row r="657" spans="1:4" ht="12.75">
      <c r="A657" s="60"/>
      <c r="B657" s="61"/>
      <c r="C657" s="62"/>
      <c r="D657" s="63"/>
    </row>
    <row r="658" spans="1:4" ht="12.75">
      <c r="A658" s="60"/>
      <c r="B658" s="61"/>
      <c r="C658" s="62"/>
      <c r="D658" s="63"/>
    </row>
    <row r="659" spans="1:4" ht="12.75">
      <c r="A659" s="60"/>
      <c r="B659" s="61"/>
      <c r="C659" s="62"/>
      <c r="D659" s="63"/>
    </row>
    <row r="660" spans="1:4" ht="12.75">
      <c r="A660" s="60"/>
      <c r="B660" s="61"/>
      <c r="C660" s="62"/>
      <c r="D660" s="63"/>
    </row>
    <row r="661" spans="1:4" ht="12.75">
      <c r="A661" s="60"/>
      <c r="B661" s="61"/>
      <c r="C661" s="62"/>
      <c r="D661" s="63"/>
    </row>
    <row r="662" spans="1:4" ht="12.75">
      <c r="A662" s="60"/>
      <c r="B662" s="61"/>
      <c r="C662" s="62"/>
      <c r="D662" s="63"/>
    </row>
    <row r="663" spans="1:4" ht="12.75">
      <c r="A663" s="60"/>
      <c r="B663" s="61"/>
      <c r="C663" s="62"/>
      <c r="D663" s="63"/>
    </row>
    <row r="664" spans="1:4" ht="12.75">
      <c r="A664" s="60"/>
      <c r="B664" s="61"/>
      <c r="C664" s="62"/>
      <c r="D664" s="63"/>
    </row>
    <row r="665" spans="1:4" ht="12.75">
      <c r="A665" s="60"/>
      <c r="B665" s="61"/>
      <c r="C665" s="62"/>
      <c r="D665" s="63"/>
    </row>
    <row r="666" spans="1:4" ht="12.75">
      <c r="A666" s="60"/>
      <c r="B666" s="61"/>
      <c r="C666" s="62"/>
      <c r="D666" s="63"/>
    </row>
    <row r="667" spans="1:4" ht="12.75">
      <c r="A667" s="60"/>
      <c r="B667" s="61"/>
      <c r="C667" s="62"/>
      <c r="D667" s="63"/>
    </row>
    <row r="668" spans="1:4" ht="12.75">
      <c r="A668" s="60"/>
      <c r="B668" s="61"/>
      <c r="C668" s="62"/>
      <c r="D668" s="63"/>
    </row>
    <row r="669" spans="1:4" ht="12.75">
      <c r="A669" s="60"/>
      <c r="B669" s="61"/>
      <c r="C669" s="62"/>
      <c r="D669" s="63"/>
    </row>
    <row r="670" spans="1:4" ht="12.75">
      <c r="A670" s="60"/>
      <c r="B670" s="61"/>
      <c r="C670" s="62"/>
      <c r="D670" s="63"/>
    </row>
    <row r="671" spans="1:4" ht="12.75">
      <c r="A671" s="60"/>
      <c r="B671" s="61"/>
      <c r="C671" s="62"/>
      <c r="D671" s="63"/>
    </row>
    <row r="672" spans="1:4" ht="12.75">
      <c r="A672" s="60"/>
      <c r="B672" s="61"/>
      <c r="C672" s="62"/>
      <c r="D672" s="63"/>
    </row>
    <row r="673" spans="1:4" ht="12.75">
      <c r="A673" s="60"/>
      <c r="B673" s="61"/>
      <c r="C673" s="62"/>
      <c r="D673" s="63"/>
    </row>
    <row r="674" spans="1:4" ht="12.75">
      <c r="A674" s="60"/>
      <c r="B674" s="61"/>
      <c r="C674" s="62"/>
      <c r="D674" s="63"/>
    </row>
    <row r="675" spans="1:4" ht="12.75">
      <c r="A675" s="60"/>
      <c r="B675" s="61"/>
      <c r="C675" s="62"/>
      <c r="D675" s="63"/>
    </row>
    <row r="676" spans="1:4" ht="12.75">
      <c r="A676" s="60"/>
      <c r="B676" s="61"/>
      <c r="C676" s="62"/>
      <c r="D676" s="63"/>
    </row>
    <row r="677" spans="1:4" ht="12.75">
      <c r="A677" s="60"/>
      <c r="B677" s="61"/>
      <c r="C677" s="62"/>
      <c r="D677" s="63"/>
    </row>
    <row r="678" spans="1:4" ht="12.75">
      <c r="A678" s="60"/>
      <c r="B678" s="61"/>
      <c r="C678" s="62"/>
      <c r="D678" s="63"/>
    </row>
    <row r="679" spans="1:4" ht="12.75">
      <c r="A679" s="60"/>
      <c r="B679" s="61"/>
      <c r="C679" s="62"/>
      <c r="D679" s="63"/>
    </row>
    <row r="680" spans="1:4" ht="12.75">
      <c r="A680" s="60"/>
      <c r="B680" s="61"/>
      <c r="C680" s="62"/>
      <c r="D680" s="63"/>
    </row>
    <row r="681" spans="1:4" ht="12.75">
      <c r="A681" s="60"/>
      <c r="B681" s="61"/>
      <c r="C681" s="62"/>
      <c r="D681" s="63"/>
    </row>
    <row r="682" spans="1:4" ht="12.75">
      <c r="A682" s="60"/>
      <c r="B682" s="61"/>
      <c r="C682" s="62"/>
      <c r="D682" s="63"/>
    </row>
    <row r="683" spans="1:4" ht="12.75">
      <c r="A683" s="60"/>
      <c r="B683" s="61"/>
      <c r="C683" s="62"/>
      <c r="D683" s="63"/>
    </row>
    <row r="684" spans="1:4" ht="12.75">
      <c r="A684" s="60"/>
      <c r="B684" s="61"/>
      <c r="C684" s="62"/>
      <c r="D684" s="63"/>
    </row>
    <row r="685" spans="1:4" ht="12.75">
      <c r="A685" s="60"/>
      <c r="B685" s="61"/>
      <c r="C685" s="62"/>
      <c r="D685" s="63"/>
    </row>
    <row r="686" spans="1:4" ht="12.75">
      <c r="A686" s="60"/>
      <c r="B686" s="61"/>
      <c r="C686" s="62"/>
      <c r="D686" s="63"/>
    </row>
    <row r="687" spans="1:4" ht="12.75">
      <c r="A687" s="60"/>
      <c r="B687" s="61"/>
      <c r="C687" s="62"/>
      <c r="D687" s="63"/>
    </row>
    <row r="688" spans="1:4" ht="12.75">
      <c r="A688" s="60"/>
      <c r="B688" s="61"/>
      <c r="C688" s="62"/>
      <c r="D688" s="63"/>
    </row>
    <row r="689" spans="1:4" ht="12.75">
      <c r="A689" s="60"/>
      <c r="B689" s="61"/>
      <c r="C689" s="62"/>
      <c r="D689" s="63"/>
    </row>
    <row r="690" spans="1:4" ht="12.75">
      <c r="A690" s="60"/>
      <c r="B690" s="61"/>
      <c r="C690" s="62"/>
      <c r="D690" s="63"/>
    </row>
    <row r="691" spans="1:4" ht="12.75">
      <c r="A691" s="60"/>
      <c r="B691" s="61"/>
      <c r="C691" s="62"/>
      <c r="D691" s="63"/>
    </row>
    <row r="692" spans="1:4" ht="12.75">
      <c r="A692" s="60"/>
      <c r="B692" s="61"/>
      <c r="C692" s="62"/>
      <c r="D692" s="63"/>
    </row>
    <row r="693" spans="1:4" ht="12.75">
      <c r="A693" s="60"/>
      <c r="B693" s="61"/>
      <c r="C693" s="62"/>
      <c r="D693" s="63"/>
    </row>
    <row r="694" spans="1:4" ht="12.75">
      <c r="A694" s="60"/>
      <c r="B694" s="61"/>
      <c r="C694" s="62"/>
      <c r="D694" s="63"/>
    </row>
    <row r="695" spans="1:4" ht="12.75">
      <c r="A695" s="60"/>
      <c r="B695" s="61"/>
      <c r="C695" s="62"/>
      <c r="D695" s="63"/>
    </row>
    <row r="696" spans="1:4" ht="12.75">
      <c r="A696" s="60"/>
      <c r="B696" s="61"/>
      <c r="C696" s="62"/>
      <c r="D696" s="63"/>
    </row>
    <row r="697" spans="1:4" ht="12.75">
      <c r="A697" s="60"/>
      <c r="B697" s="61"/>
      <c r="C697" s="62"/>
      <c r="D697" s="63"/>
    </row>
    <row r="698" spans="1:4" ht="12.75">
      <c r="A698" s="60"/>
      <c r="B698" s="61"/>
      <c r="C698" s="62"/>
      <c r="D698" s="63"/>
    </row>
    <row r="699" spans="1:4" ht="12.75">
      <c r="A699" s="60"/>
      <c r="B699" s="61"/>
      <c r="C699" s="62"/>
      <c r="D699" s="63"/>
    </row>
    <row r="700" spans="1:4" ht="12.75">
      <c r="A700" s="60"/>
      <c r="B700" s="61"/>
      <c r="C700" s="62"/>
      <c r="D700" s="63"/>
    </row>
    <row r="701" spans="1:4" ht="12.75">
      <c r="A701" s="60"/>
      <c r="B701" s="61"/>
      <c r="C701" s="62"/>
      <c r="D701" s="63"/>
    </row>
    <row r="702" spans="1:4" ht="12.75">
      <c r="A702" s="60"/>
      <c r="B702" s="61"/>
      <c r="C702" s="62"/>
      <c r="D702" s="63"/>
    </row>
    <row r="703" spans="1:4" ht="12.75">
      <c r="A703" s="60"/>
      <c r="B703" s="61"/>
      <c r="C703" s="62"/>
      <c r="D703" s="63"/>
    </row>
    <row r="704" spans="1:4" ht="12.75">
      <c r="A704" s="60"/>
      <c r="B704" s="61"/>
      <c r="C704" s="62"/>
      <c r="D704" s="63"/>
    </row>
    <row r="705" spans="1:4" ht="12.75">
      <c r="A705" s="60"/>
      <c r="B705" s="61"/>
      <c r="C705" s="62"/>
      <c r="D705" s="63"/>
    </row>
    <row r="706" spans="1:4" ht="12.75">
      <c r="A706" s="60"/>
      <c r="B706" s="61"/>
      <c r="C706" s="62"/>
      <c r="D706" s="63"/>
    </row>
    <row r="707" spans="1:4" ht="12.75">
      <c r="A707" s="60"/>
      <c r="B707" s="61"/>
      <c r="C707" s="62"/>
      <c r="D707" s="63"/>
    </row>
    <row r="708" spans="1:4" ht="12.75">
      <c r="A708" s="60"/>
      <c r="B708" s="61"/>
      <c r="C708" s="62"/>
      <c r="D708" s="63"/>
    </row>
    <row r="709" spans="1:4" ht="12.75">
      <c r="A709" s="60"/>
      <c r="B709" s="61"/>
      <c r="C709" s="62"/>
      <c r="D709" s="63"/>
    </row>
    <row r="710" spans="1:4" ht="12.75">
      <c r="A710" s="60"/>
      <c r="B710" s="61"/>
      <c r="C710" s="62"/>
      <c r="D710" s="63"/>
    </row>
    <row r="711" spans="1:4" ht="12.75">
      <c r="A711" s="60"/>
      <c r="B711" s="61"/>
      <c r="C711" s="62"/>
      <c r="D711" s="63"/>
    </row>
    <row r="712" spans="1:4" ht="12.75">
      <c r="A712" s="60"/>
      <c r="B712" s="61"/>
      <c r="C712" s="62"/>
      <c r="D712" s="63"/>
    </row>
    <row r="713" spans="1:4" ht="12.75">
      <c r="A713" s="60"/>
      <c r="B713" s="61"/>
      <c r="C713" s="62"/>
      <c r="D713" s="63"/>
    </row>
    <row r="714" spans="1:4" ht="12.75">
      <c r="A714" s="60"/>
      <c r="B714" s="61"/>
      <c r="C714" s="62"/>
      <c r="D714" s="63"/>
    </row>
    <row r="715" spans="1:4" ht="12.75">
      <c r="A715" s="60"/>
      <c r="B715" s="61"/>
      <c r="C715" s="62"/>
      <c r="D715" s="63"/>
    </row>
    <row r="716" spans="1:4" ht="12.75">
      <c r="A716" s="60"/>
      <c r="B716" s="61"/>
      <c r="C716" s="62"/>
      <c r="D716" s="63"/>
    </row>
    <row r="717" spans="1:4" ht="12.75">
      <c r="A717" s="60"/>
      <c r="B717" s="61"/>
      <c r="C717" s="62"/>
      <c r="D717" s="63"/>
    </row>
    <row r="718" spans="1:4" ht="12.75">
      <c r="A718" s="60"/>
      <c r="B718" s="61"/>
      <c r="C718" s="62"/>
      <c r="D718" s="63"/>
    </row>
    <row r="719" spans="1:4" ht="12.75">
      <c r="A719" s="60"/>
      <c r="B719" s="61"/>
      <c r="C719" s="62"/>
      <c r="D719" s="63"/>
    </row>
    <row r="720" spans="1:4" ht="12.75">
      <c r="A720" s="60"/>
      <c r="B720" s="61"/>
      <c r="C720" s="62"/>
      <c r="D720" s="63"/>
    </row>
    <row r="721" spans="1:4" ht="12.75">
      <c r="A721" s="60"/>
      <c r="B721" s="61"/>
      <c r="C721" s="62"/>
      <c r="D721" s="63"/>
    </row>
    <row r="722" spans="1:4" ht="12.75">
      <c r="A722" s="60"/>
      <c r="B722" s="61"/>
      <c r="C722" s="62"/>
      <c r="D722" s="63"/>
    </row>
    <row r="723" spans="1:4" ht="12.75">
      <c r="A723" s="60"/>
      <c r="B723" s="61"/>
      <c r="C723" s="62"/>
      <c r="D723" s="63"/>
    </row>
    <row r="724" spans="1:4" ht="12.75">
      <c r="A724" s="60"/>
      <c r="B724" s="61"/>
      <c r="C724" s="62"/>
      <c r="D724" s="63"/>
    </row>
    <row r="725" spans="1:4" ht="12.75">
      <c r="A725" s="60"/>
      <c r="B725" s="61"/>
      <c r="C725" s="62"/>
      <c r="D725" s="63"/>
    </row>
    <row r="726" spans="1:4" ht="12.75">
      <c r="A726" s="60"/>
      <c r="B726" s="61"/>
      <c r="C726" s="62"/>
      <c r="D726" s="63"/>
    </row>
    <row r="727" spans="1:4" ht="12.75">
      <c r="A727" s="60"/>
      <c r="B727" s="61"/>
      <c r="C727" s="62"/>
      <c r="D727" s="63"/>
    </row>
    <row r="728" spans="1:4" ht="12.75">
      <c r="A728" s="60"/>
      <c r="B728" s="61"/>
      <c r="C728" s="62"/>
      <c r="D728" s="63"/>
    </row>
    <row r="729" spans="1:4" ht="12.75">
      <c r="A729" s="60"/>
      <c r="B729" s="61"/>
      <c r="C729" s="62"/>
      <c r="D729" s="63"/>
    </row>
    <row r="730" spans="1:4" ht="12.75">
      <c r="A730" s="60"/>
      <c r="B730" s="61"/>
      <c r="C730" s="62"/>
      <c r="D730" s="63"/>
    </row>
    <row r="731" spans="1:4" ht="12.75">
      <c r="A731" s="60"/>
      <c r="B731" s="61"/>
      <c r="C731" s="62"/>
      <c r="D731" s="63"/>
    </row>
    <row r="732" spans="1:4" ht="12.75">
      <c r="A732" s="60"/>
      <c r="B732" s="61"/>
      <c r="C732" s="62"/>
      <c r="D732" s="63"/>
    </row>
    <row r="733" spans="1:4" ht="12.75">
      <c r="A733" s="60"/>
      <c r="B733" s="61"/>
      <c r="C733" s="62"/>
      <c r="D733" s="63"/>
    </row>
    <row r="734" spans="1:4" ht="12.75">
      <c r="A734" s="60"/>
      <c r="B734" s="61"/>
      <c r="C734" s="62"/>
      <c r="D734" s="63"/>
    </row>
    <row r="735" spans="1:4" ht="12.75">
      <c r="A735" s="60"/>
      <c r="B735" s="61"/>
      <c r="C735" s="62"/>
      <c r="D735" s="63"/>
    </row>
    <row r="736" spans="1:4" ht="12.75">
      <c r="A736" s="60"/>
      <c r="B736" s="61"/>
      <c r="C736" s="62"/>
      <c r="D736" s="63"/>
    </row>
    <row r="737" spans="1:4" ht="12.75">
      <c r="A737" s="60"/>
      <c r="B737" s="61"/>
      <c r="C737" s="62"/>
      <c r="D737" s="63"/>
    </row>
    <row r="738" spans="1:4" ht="12.75">
      <c r="A738" s="60"/>
      <c r="B738" s="61"/>
      <c r="C738" s="62"/>
      <c r="D738" s="63"/>
    </row>
    <row r="739" spans="1:4" ht="12.75">
      <c r="A739" s="60"/>
      <c r="B739" s="61"/>
      <c r="C739" s="62"/>
      <c r="D739" s="63"/>
    </row>
    <row r="740" spans="1:4" ht="12.75">
      <c r="A740" s="60"/>
      <c r="B740" s="61"/>
      <c r="C740" s="62"/>
      <c r="D740" s="63"/>
    </row>
    <row r="741" spans="1:4" ht="12.75">
      <c r="A741" s="60"/>
      <c r="B741" s="61"/>
      <c r="C741" s="62"/>
      <c r="D741" s="63"/>
    </row>
    <row r="742" spans="1:4" ht="12.75">
      <c r="A742" s="60"/>
      <c r="B742" s="61"/>
      <c r="C742" s="62"/>
      <c r="D742" s="63"/>
    </row>
    <row r="743" spans="1:4" ht="12.75">
      <c r="A743" s="60"/>
      <c r="B743" s="61"/>
      <c r="C743" s="62"/>
      <c r="D743" s="63"/>
    </row>
    <row r="744" spans="1:4" ht="12.75">
      <c r="A744" s="60"/>
      <c r="B744" s="61"/>
      <c r="C744" s="62"/>
      <c r="D744" s="63"/>
    </row>
    <row r="745" spans="1:4" ht="12.75">
      <c r="A745" s="60"/>
      <c r="B745" s="61"/>
      <c r="C745" s="62"/>
      <c r="D745" s="63"/>
    </row>
    <row r="746" spans="1:4" ht="12.75">
      <c r="A746" s="60"/>
      <c r="B746" s="61"/>
      <c r="C746" s="62"/>
      <c r="D746" s="63"/>
    </row>
    <row r="747" spans="1:4" ht="12.75">
      <c r="A747" s="60"/>
      <c r="B747" s="61"/>
      <c r="C747" s="62"/>
      <c r="D747" s="63"/>
    </row>
    <row r="748" spans="1:4" ht="12.75">
      <c r="A748" s="60"/>
      <c r="B748" s="61"/>
      <c r="C748" s="62"/>
      <c r="D748" s="63"/>
    </row>
    <row r="749" spans="1:4" ht="12.75">
      <c r="A749" s="60"/>
      <c r="B749" s="61"/>
      <c r="C749" s="62"/>
      <c r="D749" s="63"/>
    </row>
    <row r="750" spans="1:4" ht="12.75">
      <c r="A750" s="60"/>
      <c r="B750" s="61"/>
      <c r="C750" s="62"/>
      <c r="D750" s="63"/>
    </row>
    <row r="751" spans="1:4" ht="12.75">
      <c r="A751" s="60"/>
      <c r="B751" s="61"/>
      <c r="C751" s="62"/>
      <c r="D751" s="63"/>
    </row>
    <row r="752" spans="1:4" ht="12.75">
      <c r="A752" s="60"/>
      <c r="B752" s="61"/>
      <c r="C752" s="62"/>
      <c r="D752" s="63"/>
    </row>
    <row r="753" spans="1:4" ht="12.75">
      <c r="A753" s="60"/>
      <c r="B753" s="61"/>
      <c r="C753" s="62"/>
      <c r="D753" s="63"/>
    </row>
    <row r="754" spans="1:4" ht="12.75">
      <c r="A754" s="60"/>
      <c r="B754" s="61"/>
      <c r="C754" s="62"/>
      <c r="D754" s="63"/>
    </row>
    <row r="755" spans="1:4" ht="12.75">
      <c r="A755" s="60"/>
      <c r="B755" s="61"/>
      <c r="C755" s="62"/>
      <c r="D755" s="63"/>
    </row>
    <row r="756" spans="1:4" ht="12.75">
      <c r="A756" s="60"/>
      <c r="B756" s="61"/>
      <c r="C756" s="62"/>
      <c r="D756" s="63"/>
    </row>
    <row r="757" spans="1:4" ht="12.75">
      <c r="A757" s="60"/>
      <c r="B757" s="61"/>
      <c r="C757" s="62"/>
      <c r="D757" s="63"/>
    </row>
    <row r="758" spans="1:4" ht="12.75">
      <c r="A758" s="60"/>
      <c r="B758" s="61"/>
      <c r="C758" s="62"/>
      <c r="D758" s="63"/>
    </row>
    <row r="759" spans="1:4" ht="12.75">
      <c r="A759" s="60"/>
      <c r="B759" s="61"/>
      <c r="C759" s="62"/>
      <c r="D759" s="63"/>
    </row>
    <row r="760" spans="1:4" ht="12.75">
      <c r="A760" s="60"/>
      <c r="B760" s="61"/>
      <c r="C760" s="62"/>
      <c r="D760" s="63"/>
    </row>
    <row r="761" spans="1:4" ht="12.75">
      <c r="A761" s="60"/>
      <c r="B761" s="61"/>
      <c r="C761" s="62"/>
      <c r="D761" s="63"/>
    </row>
    <row r="762" spans="1:4" ht="12.75">
      <c r="A762" s="60"/>
      <c r="B762" s="61"/>
      <c r="C762" s="62"/>
      <c r="D762" s="63"/>
    </row>
    <row r="763" spans="1:4" ht="12.75">
      <c r="A763" s="60"/>
      <c r="B763" s="61"/>
      <c r="C763" s="62"/>
      <c r="D763" s="63"/>
    </row>
    <row r="764" spans="1:4" ht="12.75">
      <c r="A764" s="60"/>
      <c r="B764" s="61"/>
      <c r="C764" s="62"/>
      <c r="D764" s="63"/>
    </row>
    <row r="765" spans="1:4" ht="12.75">
      <c r="A765" s="60"/>
      <c r="B765" s="61"/>
      <c r="C765" s="62"/>
      <c r="D765" s="63"/>
    </row>
    <row r="766" spans="1:4" ht="12.75">
      <c r="A766" s="60"/>
      <c r="B766" s="61"/>
      <c r="C766" s="62"/>
      <c r="D766" s="63"/>
    </row>
    <row r="767" spans="1:4" ht="12.75">
      <c r="A767" s="60"/>
      <c r="B767" s="61"/>
      <c r="C767" s="62"/>
      <c r="D767" s="63"/>
    </row>
  </sheetData>
  <mergeCells count="7">
    <mergeCell ref="S8:X8"/>
    <mergeCell ref="F8:Q8"/>
    <mergeCell ref="M9:Q9"/>
    <mergeCell ref="F10:G10"/>
    <mergeCell ref="F9:L9"/>
    <mergeCell ref="M10:N10"/>
    <mergeCell ref="S9:X9"/>
  </mergeCells>
  <hyperlinks>
    <hyperlink ref="L98" r:id="rId1" display="http://www.blinds-supermarket.co.uk/ourProducts/product_details.aspx?product_id=1530&amp;width=200&amp;drop=174"/>
  </hyperlinks>
  <printOptions/>
  <pageMargins left="0.65" right="0.51" top="1" bottom="1" header="0.5" footer="0.5"/>
  <pageSetup fitToHeight="0" fitToWidth="1" horizontalDpi="300" verticalDpi="300" orientation="portrait" paperSize="9" scale="21" r:id="rId4"/>
  <headerFooter alignWithMargins="0">
    <oddFooter>&amp;L
&amp;"Arial,Italic"Bare, Leaning and Bare
Chartered Quantity Surveyors&amp;RPage &amp;P of &amp;N</oddFooter>
  </headerFooter>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Z679"/>
  <sheetViews>
    <sheetView view="pageBreakPreview" zoomScale="90" zoomScaleNormal="75" zoomScaleSheetLayoutView="90" workbookViewId="0" topLeftCell="A4">
      <pane xSplit="5" ySplit="7" topLeftCell="F159" activePane="bottomRight" state="frozen"/>
      <selection pane="topLeft" activeCell="A4" sqref="A4"/>
      <selection pane="topRight" activeCell="F4" sqref="F4"/>
      <selection pane="bottomLeft" activeCell="A9" sqref="A9"/>
      <selection pane="bottomRight" activeCell="B16" sqref="B16"/>
    </sheetView>
  </sheetViews>
  <sheetFormatPr defaultColWidth="9.140625" defaultRowHeight="12.75" outlineLevelRow="1" outlineLevelCol="1"/>
  <cols>
    <col min="1" max="1" width="4.00390625" style="67" customWidth="1" outlineLevel="1"/>
    <col min="2" max="2" width="5.7109375" style="67" customWidth="1" outlineLevel="1"/>
    <col min="3" max="3" width="6.140625" style="7" customWidth="1" outlineLevel="1"/>
    <col min="4" max="4" width="6.57421875" style="68" customWidth="1" outlineLevel="1"/>
    <col min="5" max="5" width="40.57421875" style="8" customWidth="1"/>
    <col min="6" max="6" width="6.140625" style="5" customWidth="1"/>
    <col min="7" max="7" width="4.7109375" style="6" customWidth="1"/>
    <col min="8" max="8" width="7.140625" style="6" customWidth="1" outlineLevel="1"/>
    <col min="9" max="9" width="8.57421875" style="6" customWidth="1" outlineLevel="1"/>
    <col min="10" max="10" width="9.8515625" style="7" customWidth="1"/>
    <col min="11" max="11" width="10.57421875" style="7" customWidth="1"/>
    <col min="12" max="12" width="29.00390625" style="91" customWidth="1"/>
    <col min="13" max="13" width="6.140625" style="5" customWidth="1"/>
    <col min="14" max="14" width="4.7109375" style="6" customWidth="1"/>
    <col min="15" max="15" width="9.8515625" style="7" customWidth="1"/>
    <col min="16" max="16" width="10.57421875" style="7" customWidth="1"/>
    <col min="17" max="17" width="29.00390625" style="7" customWidth="1"/>
    <col min="18" max="18" width="0.9921875" style="6" customWidth="1"/>
    <col min="19" max="19" width="35.421875" style="6" customWidth="1"/>
    <col min="20" max="21" width="9.421875" style="6" customWidth="1"/>
    <col min="22" max="22" width="7.421875" style="6" customWidth="1"/>
    <col min="23" max="23" width="11.8515625" style="7" customWidth="1"/>
    <col min="24" max="24" width="27.421875" style="6" customWidth="1"/>
    <col min="25" max="16384" width="9.140625" style="6" customWidth="1"/>
  </cols>
  <sheetData>
    <row r="1" spans="1:5" ht="12.75">
      <c r="A1" s="1"/>
      <c r="B1" s="2"/>
      <c r="C1" s="2"/>
      <c r="D1" s="3"/>
      <c r="E1" s="4" t="s">
        <v>5</v>
      </c>
    </row>
    <row r="2" spans="1:4" ht="12.75">
      <c r="A2" s="1"/>
      <c r="B2" s="2"/>
      <c r="C2" s="2"/>
      <c r="D2" s="3"/>
    </row>
    <row r="3" spans="1:17" ht="12.75">
      <c r="A3" s="1"/>
      <c r="B3" s="2"/>
      <c r="C3" s="2"/>
      <c r="D3" s="3"/>
      <c r="E3" s="9" t="s">
        <v>3</v>
      </c>
      <c r="K3" s="25"/>
      <c r="L3" s="92"/>
      <c r="P3" s="25"/>
      <c r="Q3" s="25"/>
    </row>
    <row r="4" spans="1:17" ht="18.75">
      <c r="A4" s="1"/>
      <c r="B4" s="2"/>
      <c r="C4" s="2"/>
      <c r="D4" s="3"/>
      <c r="E4" s="134" t="s">
        <v>303</v>
      </c>
      <c r="K4" s="25"/>
      <c r="L4" s="92"/>
      <c r="P4" s="25"/>
      <c r="Q4" s="25"/>
    </row>
    <row r="5" spans="1:17" ht="12.75">
      <c r="A5" s="1"/>
      <c r="B5" s="2"/>
      <c r="C5" s="2"/>
      <c r="D5" s="3"/>
      <c r="E5" s="9"/>
      <c r="K5" s="25"/>
      <c r="L5" s="92"/>
      <c r="P5" s="25"/>
      <c r="Q5" s="25"/>
    </row>
    <row r="6" spans="1:17" ht="18.75">
      <c r="A6" s="1"/>
      <c r="B6" s="2"/>
      <c r="C6" s="2"/>
      <c r="D6" s="3"/>
      <c r="E6" s="125" t="s">
        <v>397</v>
      </c>
      <c r="K6" s="10"/>
      <c r="L6" s="93"/>
      <c r="P6" s="10"/>
      <c r="Q6" s="10"/>
    </row>
    <row r="7" spans="1:17" ht="12.75">
      <c r="A7" s="1"/>
      <c r="B7" s="2"/>
      <c r="C7" s="2"/>
      <c r="D7" s="3"/>
      <c r="E7" s="6"/>
      <c r="K7" s="10"/>
      <c r="L7" s="93"/>
      <c r="P7" s="10"/>
      <c r="Q7" s="10"/>
    </row>
    <row r="8" spans="1:24" ht="24.75" customHeight="1">
      <c r="A8" s="1"/>
      <c r="B8" s="2"/>
      <c r="C8" s="2"/>
      <c r="D8" s="3"/>
      <c r="E8" s="9"/>
      <c r="F8" s="174" t="s">
        <v>170</v>
      </c>
      <c r="G8" s="175"/>
      <c r="H8" s="175"/>
      <c r="I8" s="175"/>
      <c r="J8" s="175"/>
      <c r="K8" s="175"/>
      <c r="L8" s="175"/>
      <c r="M8" s="175"/>
      <c r="N8" s="175"/>
      <c r="O8" s="175"/>
      <c r="P8" s="175"/>
      <c r="Q8" s="176"/>
      <c r="S8" s="171" t="s">
        <v>252</v>
      </c>
      <c r="T8" s="172"/>
      <c r="U8" s="172"/>
      <c r="V8" s="172"/>
      <c r="W8" s="172"/>
      <c r="X8" s="173"/>
    </row>
    <row r="9" spans="1:24" ht="28.5" customHeight="1">
      <c r="A9" s="1"/>
      <c r="B9" s="2"/>
      <c r="C9" s="2"/>
      <c r="D9" s="3"/>
      <c r="E9" s="9"/>
      <c r="F9" s="182" t="s">
        <v>11</v>
      </c>
      <c r="G9" s="183"/>
      <c r="H9" s="183"/>
      <c r="I9" s="183"/>
      <c r="J9" s="183"/>
      <c r="K9" s="183"/>
      <c r="L9" s="184"/>
      <c r="M9" s="177" t="s">
        <v>12</v>
      </c>
      <c r="N9" s="178"/>
      <c r="O9" s="178"/>
      <c r="P9" s="178"/>
      <c r="Q9" s="179"/>
      <c r="S9" s="187" t="s">
        <v>11</v>
      </c>
      <c r="T9" s="188"/>
      <c r="U9" s="188"/>
      <c r="V9" s="188"/>
      <c r="W9" s="188"/>
      <c r="X9" s="189"/>
    </row>
    <row r="10" spans="1:26" ht="51" customHeight="1">
      <c r="A10" s="56"/>
      <c r="B10" s="57"/>
      <c r="C10" s="58"/>
      <c r="D10" s="59"/>
      <c r="E10" s="88" t="s">
        <v>1</v>
      </c>
      <c r="F10" s="180" t="s">
        <v>0</v>
      </c>
      <c r="G10" s="181"/>
      <c r="H10" s="26" t="s">
        <v>13</v>
      </c>
      <c r="I10" s="26" t="s">
        <v>14</v>
      </c>
      <c r="J10" s="22" t="s">
        <v>9</v>
      </c>
      <c r="K10" s="11" t="s">
        <v>2</v>
      </c>
      <c r="L10" s="28" t="s">
        <v>10</v>
      </c>
      <c r="M10" s="185" t="s">
        <v>0</v>
      </c>
      <c r="N10" s="186"/>
      <c r="O10" s="29" t="s">
        <v>9</v>
      </c>
      <c r="P10" s="28" t="s">
        <v>2</v>
      </c>
      <c r="Q10" s="28" t="s">
        <v>10</v>
      </c>
      <c r="R10" s="12"/>
      <c r="S10" s="104" t="s">
        <v>1</v>
      </c>
      <c r="T10" s="105" t="s">
        <v>253</v>
      </c>
      <c r="U10" s="105" t="s">
        <v>254</v>
      </c>
      <c r="V10" s="105" t="s">
        <v>256</v>
      </c>
      <c r="W10" s="22" t="s">
        <v>255</v>
      </c>
      <c r="X10" s="106" t="s">
        <v>10</v>
      </c>
      <c r="Y10" s="12"/>
      <c r="Z10" s="12"/>
    </row>
    <row r="11" spans="1:24" ht="12.75">
      <c r="A11" s="60"/>
      <c r="B11" s="61"/>
      <c r="C11" s="62"/>
      <c r="D11" s="63"/>
      <c r="E11" s="13"/>
      <c r="F11" s="14"/>
      <c r="G11" s="24"/>
      <c r="H11" s="27"/>
      <c r="I11" s="27"/>
      <c r="J11" s="19"/>
      <c r="K11" s="15"/>
      <c r="L11" s="94"/>
      <c r="M11" s="14"/>
      <c r="N11" s="24"/>
      <c r="O11" s="19"/>
      <c r="P11" s="15"/>
      <c r="Q11" s="30"/>
      <c r="S11" s="107"/>
      <c r="T11" s="108"/>
      <c r="U11" s="108"/>
      <c r="V11" s="108"/>
      <c r="W11" s="109"/>
      <c r="X11" s="24"/>
    </row>
    <row r="12" spans="1:24" ht="12.75">
      <c r="A12" s="60"/>
      <c r="B12" s="61"/>
      <c r="C12" s="64"/>
      <c r="D12" s="63"/>
      <c r="E12" s="38"/>
      <c r="F12" s="33"/>
      <c r="G12" s="34"/>
      <c r="H12" s="39"/>
      <c r="I12" s="39"/>
      <c r="J12" s="36">
        <f>IF(+I12+H12&gt;0,I12+(H12*labour),"")</f>
      </c>
      <c r="K12" s="37">
        <f>+IF(F12="item",J12,IF(F12&lt;&gt;0,F12*J12,""))</f>
      </c>
      <c r="L12" s="31"/>
      <c r="M12" s="33"/>
      <c r="N12" s="34"/>
      <c r="O12" s="36"/>
      <c r="P12" s="37">
        <f>+IF(M12="item",O12,IF(M12&lt;&gt;0,M12*O12,""))</f>
      </c>
      <c r="Q12" s="54"/>
      <c r="S12" s="110"/>
      <c r="T12" s="12"/>
      <c r="U12" s="12"/>
      <c r="V12" s="12"/>
      <c r="W12" s="19"/>
      <c r="X12" s="111"/>
    </row>
    <row r="13" spans="1:24" ht="15.75">
      <c r="A13" s="60"/>
      <c r="B13" s="61"/>
      <c r="C13" s="86"/>
      <c r="D13" s="87"/>
      <c r="E13" s="78" t="s">
        <v>83</v>
      </c>
      <c r="F13" s="79"/>
      <c r="G13" s="80"/>
      <c r="H13" s="81"/>
      <c r="I13" s="81"/>
      <c r="J13" s="82"/>
      <c r="K13" s="83"/>
      <c r="L13" s="84"/>
      <c r="M13" s="79"/>
      <c r="N13" s="80"/>
      <c r="O13" s="82"/>
      <c r="P13" s="83"/>
      <c r="Q13" s="85"/>
      <c r="S13" s="110"/>
      <c r="T13" s="12"/>
      <c r="U13" s="12"/>
      <c r="V13" s="12"/>
      <c r="W13" s="19"/>
      <c r="X13" s="111"/>
    </row>
    <row r="14" spans="1:24" ht="12.75">
      <c r="A14" s="60"/>
      <c r="B14" s="61"/>
      <c r="C14" s="64"/>
      <c r="D14" s="63"/>
      <c r="E14" s="38"/>
      <c r="F14" s="33"/>
      <c r="G14" s="34"/>
      <c r="H14" s="39"/>
      <c r="I14" s="39"/>
      <c r="J14" s="36"/>
      <c r="K14" s="37"/>
      <c r="L14" s="31"/>
      <c r="M14" s="33"/>
      <c r="N14" s="34"/>
      <c r="O14" s="36"/>
      <c r="P14" s="37"/>
      <c r="Q14" s="54"/>
      <c r="S14" s="110"/>
      <c r="T14" s="12"/>
      <c r="U14" s="12"/>
      <c r="V14" s="12"/>
      <c r="W14" s="19"/>
      <c r="X14" s="111"/>
    </row>
    <row r="15" spans="1:24" ht="12.75">
      <c r="A15" s="60"/>
      <c r="B15" s="61"/>
      <c r="C15" s="64"/>
      <c r="D15" s="63"/>
      <c r="E15" s="38"/>
      <c r="F15" s="33"/>
      <c r="G15" s="34"/>
      <c r="H15" s="39"/>
      <c r="I15" s="39"/>
      <c r="J15" s="36"/>
      <c r="K15" s="37"/>
      <c r="L15" s="31"/>
      <c r="M15" s="33"/>
      <c r="N15" s="34"/>
      <c r="O15" s="36"/>
      <c r="P15" s="37"/>
      <c r="Q15" s="54"/>
      <c r="S15" s="110"/>
      <c r="T15" s="12"/>
      <c r="U15" s="12"/>
      <c r="V15" s="12"/>
      <c r="W15" s="19"/>
      <c r="X15" s="111"/>
    </row>
    <row r="16" spans="1:24" ht="25.5" customHeight="1">
      <c r="A16" s="60"/>
      <c r="B16" s="61"/>
      <c r="C16" s="64"/>
      <c r="D16" s="63"/>
      <c r="E16" s="32" t="s">
        <v>84</v>
      </c>
      <c r="F16" s="33"/>
      <c r="G16" s="34"/>
      <c r="H16" s="39"/>
      <c r="I16" s="39"/>
      <c r="J16" s="36"/>
      <c r="K16" s="53">
        <f>SUM(K18:K31)</f>
        <v>614.4996</v>
      </c>
      <c r="L16" s="31"/>
      <c r="M16" s="33"/>
      <c r="N16" s="34"/>
      <c r="O16" s="36"/>
      <c r="P16" s="53">
        <f>SUM(P18:P31)</f>
        <v>359.736</v>
      </c>
      <c r="Q16" s="54"/>
      <c r="S16" s="110"/>
      <c r="T16" s="12"/>
      <c r="U16" s="12"/>
      <c r="V16" s="12"/>
      <c r="W16" s="112" t="e">
        <f>SUM(W18:W31)</f>
        <v>#VALUE!</v>
      </c>
      <c r="X16" s="111"/>
    </row>
    <row r="17" spans="1:24" ht="12.75" hidden="1" outlineLevel="1">
      <c r="A17" s="60"/>
      <c r="B17" s="61"/>
      <c r="C17" s="64"/>
      <c r="D17" s="63"/>
      <c r="E17" s="38"/>
      <c r="F17" s="33"/>
      <c r="G17" s="34"/>
      <c r="H17" s="39"/>
      <c r="I17" s="39"/>
      <c r="J17" s="36">
        <f>IF(+I17+H17&gt;0,I17+(H17*labour),"")</f>
      </c>
      <c r="K17" s="37"/>
      <c r="L17" s="31"/>
      <c r="M17" s="33"/>
      <c r="N17" s="34"/>
      <c r="O17" s="36"/>
      <c r="P17" s="37">
        <f>+IF(M17="item",O17,IF(M17&lt;&gt;0,M17*O17,""))</f>
      </c>
      <c r="Q17" s="54"/>
      <c r="S17" s="113" t="s">
        <v>257</v>
      </c>
      <c r="T17" s="12"/>
      <c r="U17" s="12"/>
      <c r="V17" s="12"/>
      <c r="W17" s="19"/>
      <c r="X17" s="111"/>
    </row>
    <row r="18" spans="1:24" ht="12.75" hidden="1" outlineLevel="1">
      <c r="A18" s="60"/>
      <c r="B18" s="61"/>
      <c r="C18" s="64"/>
      <c r="D18" s="63"/>
      <c r="E18" s="38" t="s">
        <v>38</v>
      </c>
      <c r="F18" s="33">
        <f>ROUND(D22,0)</f>
        <v>51</v>
      </c>
      <c r="G18" s="34" t="s">
        <v>35</v>
      </c>
      <c r="H18" s="39">
        <v>0.13</v>
      </c>
      <c r="I18" s="39">
        <f>space</f>
        <v>5.6784</v>
      </c>
      <c r="J18" s="36">
        <f>IF(+I18+H18&gt;0,I18+(H18*labour),"")</f>
        <v>9.5784</v>
      </c>
      <c r="K18" s="37">
        <f>+IF(F18="item",J18,IF(F18&lt;&gt;0,F18*J18,""))</f>
        <v>488.4984</v>
      </c>
      <c r="L18" s="31" t="s">
        <v>39</v>
      </c>
      <c r="M18" s="33">
        <f>+F18</f>
        <v>51</v>
      </c>
      <c r="N18" s="34" t="s">
        <v>35</v>
      </c>
      <c r="O18" s="36">
        <f>space</f>
        <v>5.6784</v>
      </c>
      <c r="P18" s="37">
        <f>+IF(M18="item",O18,IF(M18&lt;&gt;0,M18*O18,""))</f>
        <v>289.59839999999997</v>
      </c>
      <c r="Q18" s="54" t="s">
        <v>39</v>
      </c>
      <c r="S18" s="110" t="str">
        <f>+E18</f>
        <v>150mm thick Spaceblanket</v>
      </c>
      <c r="T18" s="114">
        <f>+K18</f>
        <v>488.4984</v>
      </c>
      <c r="U18" s="12"/>
      <c r="V18" s="12">
        <v>60</v>
      </c>
      <c r="W18" s="19">
        <f>ROUND(+IF(V18&gt;0,T18/V18,""),2)</f>
        <v>8.14</v>
      </c>
      <c r="X18" s="111"/>
    </row>
    <row r="19" spans="1:24" ht="12.75" hidden="1" outlineLevel="1">
      <c r="A19" s="60"/>
      <c r="B19" s="61"/>
      <c r="C19" s="64">
        <v>8.5</v>
      </c>
      <c r="D19" s="63"/>
      <c r="E19" s="38"/>
      <c r="F19" s="33"/>
      <c r="G19" s="34"/>
      <c r="H19" s="39"/>
      <c r="I19" s="39"/>
      <c r="J19" s="36"/>
      <c r="K19" s="37"/>
      <c r="L19" s="31"/>
      <c r="M19" s="33"/>
      <c r="N19" s="34"/>
      <c r="O19" s="36"/>
      <c r="P19" s="37"/>
      <c r="Q19" s="54" t="s">
        <v>398</v>
      </c>
      <c r="S19" s="110"/>
      <c r="T19" s="114"/>
      <c r="U19" s="12"/>
      <c r="V19" s="12"/>
      <c r="W19" s="19"/>
      <c r="X19" s="111"/>
    </row>
    <row r="20" spans="1:24" ht="12.75" hidden="1" outlineLevel="1">
      <c r="A20" s="60"/>
      <c r="B20" s="61"/>
      <c r="C20" s="135">
        <v>6</v>
      </c>
      <c r="D20" s="63">
        <f>+C19*C20</f>
        <v>51</v>
      </c>
      <c r="E20" s="38"/>
      <c r="F20" s="33"/>
      <c r="G20" s="34"/>
      <c r="H20" s="39"/>
      <c r="I20" s="39"/>
      <c r="J20" s="36"/>
      <c r="K20" s="37"/>
      <c r="L20" s="31"/>
      <c r="M20" s="33"/>
      <c r="N20" s="34"/>
      <c r="O20" s="36"/>
      <c r="P20" s="37"/>
      <c r="Q20" s="54"/>
      <c r="S20" s="110"/>
      <c r="T20" s="114"/>
      <c r="U20" s="12"/>
      <c r="V20" s="12"/>
      <c r="W20" s="19"/>
      <c r="X20" s="111"/>
    </row>
    <row r="21" spans="1:24" ht="12.75" hidden="1" outlineLevel="1">
      <c r="A21" s="60"/>
      <c r="B21" s="61"/>
      <c r="C21" s="64"/>
      <c r="D21" s="63"/>
      <c r="E21" s="38"/>
      <c r="F21" s="33"/>
      <c r="G21" s="34"/>
      <c r="H21" s="39"/>
      <c r="I21" s="39"/>
      <c r="J21" s="36"/>
      <c r="K21" s="37"/>
      <c r="L21" s="31"/>
      <c r="M21" s="33"/>
      <c r="N21" s="34"/>
      <c r="O21" s="36"/>
      <c r="P21" s="37"/>
      <c r="Q21" s="54"/>
      <c r="S21" s="110"/>
      <c r="T21" s="114"/>
      <c r="U21" s="12"/>
      <c r="V21" s="12"/>
      <c r="W21" s="19"/>
      <c r="X21" s="111"/>
    </row>
    <row r="22" spans="1:24" ht="12.75" hidden="1" outlineLevel="1">
      <c r="A22" s="60"/>
      <c r="B22" s="61"/>
      <c r="C22" s="64"/>
      <c r="D22" s="65">
        <f>SUM(D19:D21)</f>
        <v>51</v>
      </c>
      <c r="E22" s="38"/>
      <c r="F22" s="33"/>
      <c r="G22" s="34"/>
      <c r="H22" s="39"/>
      <c r="I22" s="39"/>
      <c r="J22" s="36"/>
      <c r="K22" s="37"/>
      <c r="L22" s="31"/>
      <c r="M22" s="33"/>
      <c r="N22" s="34"/>
      <c r="O22" s="36"/>
      <c r="P22" s="37"/>
      <c r="Q22" s="54"/>
      <c r="S22" s="110"/>
      <c r="T22" s="114"/>
      <c r="U22" s="12"/>
      <c r="V22" s="12"/>
      <c r="W22" s="19"/>
      <c r="X22" s="111"/>
    </row>
    <row r="23" spans="1:24" ht="12.75" hidden="1" outlineLevel="1">
      <c r="A23" s="60"/>
      <c r="B23" s="61"/>
      <c r="C23" s="64"/>
      <c r="D23" s="63"/>
      <c r="E23" s="38"/>
      <c r="F23" s="33"/>
      <c r="G23" s="34"/>
      <c r="H23" s="39"/>
      <c r="I23" s="39"/>
      <c r="J23" s="36">
        <f>IF(+I23+H23&gt;0,I23+(H23*labour),"")</f>
      </c>
      <c r="K23" s="37">
        <f aca="true" t="shared" si="0" ref="K23:K29">+IF(F23="item",J23,IF(F23&lt;&gt;0,F23*J23,""))</f>
      </c>
      <c r="L23" s="31"/>
      <c r="M23" s="33"/>
      <c r="N23" s="34"/>
      <c r="O23" s="36"/>
      <c r="P23" s="37">
        <f aca="true" t="shared" si="1" ref="P23:P28">+IF(M23="item",O23,IF(M23&lt;&gt;0,M23*O23,""))</f>
      </c>
      <c r="Q23" s="54"/>
      <c r="S23" s="110"/>
      <c r="T23" s="12"/>
      <c r="U23" s="12"/>
      <c r="V23" s="12"/>
      <c r="W23" s="19"/>
      <c r="X23" s="111"/>
    </row>
    <row r="24" spans="1:24" ht="25.5" hidden="1" outlineLevel="1">
      <c r="A24" s="60"/>
      <c r="B24" s="61"/>
      <c r="C24" s="64"/>
      <c r="D24" s="63"/>
      <c r="E24" s="38" t="s">
        <v>41</v>
      </c>
      <c r="F24" s="33"/>
      <c r="G24" s="34" t="s">
        <v>8</v>
      </c>
      <c r="H24" s="39">
        <v>0.05</v>
      </c>
      <c r="I24" s="39">
        <f>eavesvent</f>
        <v>4.35</v>
      </c>
      <c r="J24" s="36">
        <f>IF(+I24+H24&gt;0,I24+(H24*labour),"")</f>
        <v>5.85</v>
      </c>
      <c r="K24" s="37">
        <f t="shared" si="0"/>
      </c>
      <c r="L24" s="31"/>
      <c r="M24" s="33"/>
      <c r="N24" s="34" t="s">
        <v>8</v>
      </c>
      <c r="O24" s="36">
        <f>eavesvent</f>
        <v>4.35</v>
      </c>
      <c r="P24" s="37">
        <f t="shared" si="1"/>
      </c>
      <c r="Q24" s="54" t="s">
        <v>399</v>
      </c>
      <c r="S24" s="110" t="str">
        <f>+E24</f>
        <v>Glidevale eaves ventilators RV 401</v>
      </c>
      <c r="T24" s="114">
        <f>+K24</f>
      </c>
      <c r="U24" s="12"/>
      <c r="V24" s="12">
        <v>60</v>
      </c>
      <c r="W24" s="19" t="e">
        <f>ROUND(+IF(V24&gt;0,T24/V24,""),2)</f>
        <v>#VALUE!</v>
      </c>
      <c r="X24" s="111"/>
    </row>
    <row r="25" spans="1:24" ht="12.75" hidden="1" outlineLevel="1">
      <c r="A25" s="60"/>
      <c r="B25" s="61"/>
      <c r="C25" s="64"/>
      <c r="D25" s="63"/>
      <c r="E25" s="38"/>
      <c r="F25" s="33"/>
      <c r="G25" s="34"/>
      <c r="H25" s="39"/>
      <c r="I25" s="39"/>
      <c r="J25" s="36">
        <f>IF(+I25+H25&gt;0,I25+(H25*labour),"")</f>
      </c>
      <c r="K25" s="37">
        <f t="shared" si="0"/>
      </c>
      <c r="L25" s="31"/>
      <c r="M25" s="33"/>
      <c r="N25" s="34"/>
      <c r="O25" s="36"/>
      <c r="P25" s="37">
        <f t="shared" si="1"/>
      </c>
      <c r="Q25" s="54"/>
      <c r="S25" s="110"/>
      <c r="T25" s="12"/>
      <c r="U25" s="12"/>
      <c r="V25" s="12"/>
      <c r="W25" s="19"/>
      <c r="X25" s="111"/>
    </row>
    <row r="26" spans="1:24" ht="12.75" hidden="1" outlineLevel="1">
      <c r="A26" s="60"/>
      <c r="B26" s="61"/>
      <c r="C26" s="64"/>
      <c r="D26" s="63"/>
      <c r="E26" s="38" t="s">
        <v>40</v>
      </c>
      <c r="F26" s="33">
        <v>2</v>
      </c>
      <c r="G26" s="34" t="s">
        <v>8</v>
      </c>
      <c r="H26" s="39"/>
      <c r="I26" s="39">
        <f>draughtdoor</f>
        <v>10.0688</v>
      </c>
      <c r="J26" s="36">
        <f>IF(+I26+H26&gt;0,I26+(H26*labour),"")</f>
        <v>10.0688</v>
      </c>
      <c r="K26" s="37">
        <f t="shared" si="0"/>
        <v>20.1376</v>
      </c>
      <c r="L26" s="31"/>
      <c r="M26" s="33">
        <v>2</v>
      </c>
      <c r="N26" s="34" t="s">
        <v>8</v>
      </c>
      <c r="O26" s="36">
        <f>+I26</f>
        <v>10.0688</v>
      </c>
      <c r="P26" s="37">
        <f t="shared" si="1"/>
        <v>20.1376</v>
      </c>
      <c r="Q26" s="54"/>
      <c r="S26" s="110" t="str">
        <f>+E26</f>
        <v>Pin on brush seals to loft hatch</v>
      </c>
      <c r="T26" s="114">
        <f>+K26</f>
        <v>20.1376</v>
      </c>
      <c r="U26" s="12"/>
      <c r="V26" s="12">
        <v>20</v>
      </c>
      <c r="W26" s="19">
        <f>ROUND(+IF(V26&gt;0,T26/V26,""),2)</f>
        <v>1.01</v>
      </c>
      <c r="X26" s="111"/>
    </row>
    <row r="27" spans="1:24" ht="12.75" hidden="1" outlineLevel="1">
      <c r="A27" s="60"/>
      <c r="B27" s="61"/>
      <c r="C27" s="64"/>
      <c r="D27" s="63"/>
      <c r="E27" s="38"/>
      <c r="F27" s="33"/>
      <c r="G27" s="34"/>
      <c r="H27" s="39"/>
      <c r="I27" s="39"/>
      <c r="J27" s="36">
        <f>IF(+I27+H27&gt;0,I27+(H27*labour),"")</f>
      </c>
      <c r="K27" s="37">
        <f t="shared" si="0"/>
      </c>
      <c r="L27" s="31"/>
      <c r="M27" s="33"/>
      <c r="N27" s="34"/>
      <c r="O27" s="36"/>
      <c r="P27" s="37">
        <f t="shared" si="1"/>
      </c>
      <c r="Q27" s="54"/>
      <c r="S27" s="110"/>
      <c r="T27" s="12"/>
      <c r="U27" s="12"/>
      <c r="V27" s="12"/>
      <c r="W27" s="19"/>
      <c r="X27" s="111"/>
    </row>
    <row r="28" spans="1:24" ht="12.75" hidden="1" outlineLevel="1">
      <c r="A28" s="60"/>
      <c r="B28" s="61"/>
      <c r="C28" s="64"/>
      <c r="D28" s="63"/>
      <c r="E28" s="38" t="s">
        <v>43</v>
      </c>
      <c r="F28" s="33" t="s">
        <v>1</v>
      </c>
      <c r="G28" s="34"/>
      <c r="H28" s="39"/>
      <c r="I28" s="39"/>
      <c r="J28" s="36">
        <v>50</v>
      </c>
      <c r="K28" s="37">
        <f t="shared" si="0"/>
        <v>50</v>
      </c>
      <c r="L28" s="31"/>
      <c r="M28" s="33" t="s">
        <v>1</v>
      </c>
      <c r="N28" s="34"/>
      <c r="O28" s="36">
        <v>50</v>
      </c>
      <c r="P28" s="37">
        <f t="shared" si="1"/>
        <v>50</v>
      </c>
      <c r="Q28" s="54"/>
      <c r="S28" s="110" t="str">
        <f>+E28</f>
        <v>Sundry materials</v>
      </c>
      <c r="T28" s="114">
        <f>+K28</f>
        <v>50</v>
      </c>
      <c r="U28" s="12"/>
      <c r="V28" s="12">
        <v>60</v>
      </c>
      <c r="W28" s="19">
        <f>ROUND(+IF(V28&gt;0,T28/V28,""),2)</f>
        <v>0.83</v>
      </c>
      <c r="X28" s="111"/>
    </row>
    <row r="29" spans="1:24" ht="12.75" hidden="1" outlineLevel="1">
      <c r="A29" s="60"/>
      <c r="B29" s="61"/>
      <c r="C29" s="64"/>
      <c r="D29" s="63"/>
      <c r="E29" s="38"/>
      <c r="F29" s="33"/>
      <c r="G29" s="34"/>
      <c r="H29" s="39"/>
      <c r="I29" s="39"/>
      <c r="J29" s="36">
        <f>IF(+I29+H29&gt;0,I29+(H29*labour),"")</f>
      </c>
      <c r="K29" s="37">
        <f t="shared" si="0"/>
      </c>
      <c r="L29" s="31"/>
      <c r="M29" s="33"/>
      <c r="N29" s="34"/>
      <c r="O29" s="36"/>
      <c r="P29" s="37"/>
      <c r="Q29" s="54"/>
      <c r="S29" s="110"/>
      <c r="T29" s="114"/>
      <c r="U29" s="12"/>
      <c r="V29" s="12"/>
      <c r="W29" s="19"/>
      <c r="X29" s="111"/>
    </row>
    <row r="30" spans="1:24" ht="12.75" hidden="1" outlineLevel="1">
      <c r="A30" s="60"/>
      <c r="B30" s="61"/>
      <c r="C30" s="64"/>
      <c r="D30" s="63"/>
      <c r="E30" s="38" t="s">
        <v>362</v>
      </c>
      <c r="F30" s="33">
        <v>10</v>
      </c>
      <c r="G30" s="34" t="s">
        <v>363</v>
      </c>
      <c r="H30" s="39"/>
      <c r="I30" s="39"/>
      <c r="J30" s="36">
        <f>SUM(K17:K29)</f>
        <v>558.636</v>
      </c>
      <c r="K30" s="37">
        <f>+J30*F30%</f>
        <v>55.8636</v>
      </c>
      <c r="L30" s="31"/>
      <c r="M30" s="33"/>
      <c r="N30" s="34"/>
      <c r="O30" s="36"/>
      <c r="P30" s="37"/>
      <c r="Q30" s="54"/>
      <c r="S30" s="110"/>
      <c r="T30" s="114"/>
      <c r="U30" s="12"/>
      <c r="V30" s="12"/>
      <c r="W30" s="19"/>
      <c r="X30" s="111"/>
    </row>
    <row r="31" spans="1:24" ht="12.75" hidden="1" outlineLevel="1">
      <c r="A31" s="60"/>
      <c r="B31" s="61"/>
      <c r="C31" s="64"/>
      <c r="D31" s="63"/>
      <c r="E31" s="38"/>
      <c r="F31" s="33"/>
      <c r="G31" s="34"/>
      <c r="H31" s="39"/>
      <c r="I31" s="39"/>
      <c r="J31" s="36">
        <f>IF(+I31+H31&gt;0,I31+(H31*labour),"")</f>
      </c>
      <c r="K31" s="37">
        <f>+IF(F31="item",J31,IF(F31&lt;&gt;0,F31*J31,""))</f>
      </c>
      <c r="L31" s="31"/>
      <c r="M31" s="33"/>
      <c r="N31" s="34"/>
      <c r="O31" s="36"/>
      <c r="P31" s="37">
        <f>+IF(M31="item",O31,IF(M31&lt;&gt;0,M31*O31,""))</f>
      </c>
      <c r="Q31" s="54"/>
      <c r="S31" s="110"/>
      <c r="T31" s="12"/>
      <c r="U31" s="12"/>
      <c r="V31" s="12"/>
      <c r="W31" s="19"/>
      <c r="X31" s="111"/>
    </row>
    <row r="32" spans="1:24" ht="12.75" collapsed="1">
      <c r="A32" s="60"/>
      <c r="B32" s="61"/>
      <c r="C32" s="64"/>
      <c r="D32" s="63"/>
      <c r="E32" s="38"/>
      <c r="F32" s="33"/>
      <c r="G32" s="34"/>
      <c r="H32" s="39"/>
      <c r="I32" s="39"/>
      <c r="J32" s="36">
        <f>IF(+I32+H32&gt;0,I32+(H32*labour),"")</f>
      </c>
      <c r="K32" s="37"/>
      <c r="L32" s="31"/>
      <c r="M32" s="33"/>
      <c r="N32" s="34"/>
      <c r="O32" s="36"/>
      <c r="P32" s="37">
        <f>+IF(M32="item",O32,IF(M32&lt;&gt;0,M32*O32,""))</f>
      </c>
      <c r="Q32" s="54"/>
      <c r="S32" s="110"/>
      <c r="T32" s="12"/>
      <c r="U32" s="12"/>
      <c r="V32" s="12"/>
      <c r="W32" s="19"/>
      <c r="X32" s="111"/>
    </row>
    <row r="33" spans="1:24" ht="12.75">
      <c r="A33" s="60"/>
      <c r="B33" s="61"/>
      <c r="C33" s="64"/>
      <c r="D33" s="63"/>
      <c r="E33" s="32" t="s">
        <v>85</v>
      </c>
      <c r="F33" s="33"/>
      <c r="G33" s="34"/>
      <c r="H33" s="39"/>
      <c r="I33" s="39"/>
      <c r="J33" s="36">
        <f>IF(+I33+H33&gt;0,I33+(H33*labour),"")</f>
      </c>
      <c r="K33" s="53">
        <f>SUM(K35:K45)</f>
        <v>532.57072</v>
      </c>
      <c r="L33" s="31"/>
      <c r="M33" s="33"/>
      <c r="N33" s="34"/>
      <c r="O33" s="36"/>
      <c r="P33" s="53">
        <f>SUM(P35:P44)</f>
        <v>213.15519999999998</v>
      </c>
      <c r="Q33" s="54"/>
      <c r="S33" s="110"/>
      <c r="T33" s="12"/>
      <c r="U33" s="12"/>
      <c r="V33" s="12"/>
      <c r="W33" s="112">
        <f>SUM(W35:W44)</f>
        <v>48.41</v>
      </c>
      <c r="X33" s="111"/>
    </row>
    <row r="34" spans="1:24" ht="12.75">
      <c r="A34" s="60"/>
      <c r="B34" s="61"/>
      <c r="C34" s="64"/>
      <c r="D34" s="63"/>
      <c r="E34" s="38"/>
      <c r="F34" s="33"/>
      <c r="G34" s="34"/>
      <c r="H34" s="39"/>
      <c r="I34" s="39"/>
      <c r="J34" s="36">
        <f>IF(+I34+H34&gt;0,I34+(H34*labour),"")</f>
      </c>
      <c r="K34" s="37">
        <f>+IF(F34="item",J34,IF(F34&lt;&gt;0,F34*J34,""))</f>
      </c>
      <c r="L34" s="31"/>
      <c r="M34" s="33"/>
      <c r="N34" s="34"/>
      <c r="O34" s="36"/>
      <c r="P34" s="37">
        <f>+IF(M34="item",O34,IF(M34&lt;&gt;0,M34*O34,""))</f>
      </c>
      <c r="Q34" s="54"/>
      <c r="S34" s="113" t="s">
        <v>257</v>
      </c>
      <c r="T34" s="12"/>
      <c r="U34" s="12"/>
      <c r="V34" s="12"/>
      <c r="W34" s="19"/>
      <c r="X34" s="111"/>
    </row>
    <row r="35" spans="1:24" ht="25.5" hidden="1" outlineLevel="1">
      <c r="A35" s="60"/>
      <c r="B35" s="61"/>
      <c r="C35" s="64"/>
      <c r="D35" s="63"/>
      <c r="E35" s="38" t="s">
        <v>29</v>
      </c>
      <c r="F35" s="33">
        <v>16</v>
      </c>
      <c r="G35" s="34" t="s">
        <v>8</v>
      </c>
      <c r="H35" s="39">
        <v>0.5</v>
      </c>
      <c r="I35" s="39">
        <v>9</v>
      </c>
      <c r="J35" s="36">
        <f>IF(+I35+H35&gt;0,I35+(H35*labour),"")</f>
        <v>24</v>
      </c>
      <c r="K35" s="37">
        <f>+IF(F35="item",J35,IF(F35&lt;&gt;0,F35*J35,""))</f>
        <v>384</v>
      </c>
      <c r="L35" s="31" t="s">
        <v>400</v>
      </c>
      <c r="M35" s="33">
        <f>+F35</f>
        <v>16</v>
      </c>
      <c r="N35" s="34" t="s">
        <v>8</v>
      </c>
      <c r="O35" s="36">
        <f>+I35</f>
        <v>9</v>
      </c>
      <c r="P35" s="37">
        <f>+IF(M35="item",O35,IF(M35&lt;&gt;0,M35*O35,""))</f>
        <v>144</v>
      </c>
      <c r="Q35" s="54" t="s">
        <v>28</v>
      </c>
      <c r="S35" s="110" t="str">
        <f>+E35</f>
        <v>Pin on brush strips and rubber seals</v>
      </c>
      <c r="T35" s="114">
        <f>+K35</f>
        <v>384</v>
      </c>
      <c r="U35" s="12"/>
      <c r="V35" s="12">
        <v>10</v>
      </c>
      <c r="W35" s="19">
        <f>ROUND(+IF(V35&gt;0,T35/V35,""),2)</f>
        <v>38.4</v>
      </c>
      <c r="X35" s="111"/>
    </row>
    <row r="36" spans="1:24" ht="12.75" hidden="1" outlineLevel="1">
      <c r="A36" s="60"/>
      <c r="B36" s="61"/>
      <c r="C36" s="64"/>
      <c r="D36" s="63"/>
      <c r="E36" s="38"/>
      <c r="F36" s="33"/>
      <c r="G36" s="34"/>
      <c r="H36" s="39"/>
      <c r="I36" s="39"/>
      <c r="J36" s="36"/>
      <c r="K36" s="37"/>
      <c r="L36" s="31"/>
      <c r="M36" s="33"/>
      <c r="N36" s="34"/>
      <c r="O36" s="36"/>
      <c r="P36" s="37"/>
      <c r="Q36" s="54"/>
      <c r="S36" s="110"/>
      <c r="T36" s="12"/>
      <c r="U36" s="12"/>
      <c r="V36" s="12"/>
      <c r="W36" s="19"/>
      <c r="X36" s="111"/>
    </row>
    <row r="37" spans="1:24" ht="12.75" hidden="1" outlineLevel="1">
      <c r="A37" s="60"/>
      <c r="B37" s="61"/>
      <c r="C37" s="64"/>
      <c r="D37" s="63"/>
      <c r="E37" s="38" t="s">
        <v>23</v>
      </c>
      <c r="F37" s="33" t="s">
        <v>1</v>
      </c>
      <c r="G37" s="34"/>
      <c r="H37" s="39"/>
      <c r="I37" s="39">
        <v>25</v>
      </c>
      <c r="J37" s="36">
        <f aca="true" t="shared" si="2" ref="J37:J44">IF(+I37+H37&gt;0,I37+(H37*labour),"")</f>
        <v>25</v>
      </c>
      <c r="K37" s="37">
        <f aca="true" t="shared" si="3" ref="K37:K44">+IF(F37="item",J37,IF(F37&lt;&gt;0,F37*J37,""))</f>
        <v>25</v>
      </c>
      <c r="L37" s="31" t="s">
        <v>31</v>
      </c>
      <c r="M37" s="33">
        <v>1</v>
      </c>
      <c r="N37" s="34" t="s">
        <v>8</v>
      </c>
      <c r="O37" s="36">
        <v>25</v>
      </c>
      <c r="P37" s="37">
        <f aca="true" t="shared" si="4" ref="P37:P46">+IF(M37="item",O37,IF(M37&lt;&gt;0,M37*O37,""))</f>
        <v>25</v>
      </c>
      <c r="Q37" s="54" t="s">
        <v>31</v>
      </c>
      <c r="S37" s="110" t="str">
        <f>+E37</f>
        <v>Sundry consumables/ materials</v>
      </c>
      <c r="T37" s="114">
        <f>+K37</f>
        <v>25</v>
      </c>
      <c r="U37" s="12"/>
      <c r="V37" s="12">
        <v>10</v>
      </c>
      <c r="W37" s="19">
        <f>ROUND(+IF(V37&gt;0,T37/V37,""),2)</f>
        <v>2.5</v>
      </c>
      <c r="X37" s="111"/>
    </row>
    <row r="38" spans="1:24" ht="12.75" hidden="1" outlineLevel="1">
      <c r="A38" s="60"/>
      <c r="B38" s="61"/>
      <c r="C38" s="64"/>
      <c r="D38" s="65"/>
      <c r="E38" s="38"/>
      <c r="F38" s="33"/>
      <c r="G38" s="34"/>
      <c r="H38" s="39"/>
      <c r="I38" s="39"/>
      <c r="J38" s="36">
        <f t="shared" si="2"/>
      </c>
      <c r="K38" s="37">
        <f t="shared" si="3"/>
      </c>
      <c r="L38" s="31"/>
      <c r="M38" s="33"/>
      <c r="N38" s="34"/>
      <c r="O38" s="36"/>
      <c r="P38" s="37">
        <f t="shared" si="4"/>
      </c>
      <c r="Q38" s="54"/>
      <c r="S38" s="110"/>
      <c r="T38" s="12"/>
      <c r="U38" s="12"/>
      <c r="V38" s="12"/>
      <c r="W38" s="19"/>
      <c r="X38" s="111"/>
    </row>
    <row r="39" spans="1:24" ht="12.75" hidden="1" outlineLevel="1">
      <c r="A39" s="60"/>
      <c r="B39" s="61"/>
      <c r="C39" s="64"/>
      <c r="D39" s="63"/>
      <c r="E39" s="38" t="s">
        <v>26</v>
      </c>
      <c r="F39" s="33">
        <v>2</v>
      </c>
      <c r="G39" s="34" t="s">
        <v>8</v>
      </c>
      <c r="H39" s="39">
        <v>0.5</v>
      </c>
      <c r="I39" s="39">
        <f>draughtdoor</f>
        <v>10.0688</v>
      </c>
      <c r="J39" s="36">
        <f t="shared" si="2"/>
        <v>25.0688</v>
      </c>
      <c r="K39" s="37">
        <f t="shared" si="3"/>
        <v>50.1376</v>
      </c>
      <c r="L39" s="69"/>
      <c r="M39" s="33">
        <v>2</v>
      </c>
      <c r="N39" s="34" t="s">
        <v>8</v>
      </c>
      <c r="O39" s="36">
        <f>draughtdoor</f>
        <v>10.0688</v>
      </c>
      <c r="P39" s="37">
        <f t="shared" si="4"/>
        <v>20.1376</v>
      </c>
      <c r="Q39" s="96"/>
      <c r="S39" s="110" t="str">
        <f>+E39</f>
        <v>Pin on brush seal; head and jambs</v>
      </c>
      <c r="T39" s="114">
        <f>+K39</f>
        <v>50.1376</v>
      </c>
      <c r="U39" s="12"/>
      <c r="V39" s="12">
        <v>10</v>
      </c>
      <c r="W39" s="19">
        <f>ROUND(+IF(V39&gt;0,T39/V39,""),2)</f>
        <v>5.01</v>
      </c>
      <c r="X39" s="111"/>
    </row>
    <row r="40" spans="1:24" ht="12.75" hidden="1" outlineLevel="1">
      <c r="A40" s="60"/>
      <c r="B40" s="61"/>
      <c r="C40" s="64"/>
      <c r="D40" s="63"/>
      <c r="E40" s="38"/>
      <c r="F40" s="33"/>
      <c r="G40" s="34"/>
      <c r="H40" s="39"/>
      <c r="I40" s="39"/>
      <c r="J40" s="36">
        <f t="shared" si="2"/>
      </c>
      <c r="K40" s="37">
        <f t="shared" si="3"/>
      </c>
      <c r="L40" s="31"/>
      <c r="M40" s="33"/>
      <c r="N40" s="34"/>
      <c r="O40" s="36"/>
      <c r="P40" s="37">
        <f t="shared" si="4"/>
      </c>
      <c r="Q40" s="54"/>
      <c r="S40" s="110"/>
      <c r="T40" s="12"/>
      <c r="U40" s="12"/>
      <c r="V40" s="12"/>
      <c r="W40" s="19"/>
      <c r="X40" s="111"/>
    </row>
    <row r="41" spans="1:24" ht="12.75" hidden="1" outlineLevel="1">
      <c r="A41" s="60"/>
      <c r="B41" s="61"/>
      <c r="C41" s="64"/>
      <c r="D41" s="63"/>
      <c r="E41" s="38" t="s">
        <v>27</v>
      </c>
      <c r="F41" s="33">
        <v>2</v>
      </c>
      <c r="G41" s="34" t="s">
        <v>8</v>
      </c>
      <c r="H41" s="39">
        <v>0.1</v>
      </c>
      <c r="I41" s="39">
        <f>thresholdbrush</f>
        <v>9.5088</v>
      </c>
      <c r="J41" s="36">
        <f t="shared" si="2"/>
        <v>12.5088</v>
      </c>
      <c r="K41" s="37">
        <f t="shared" si="3"/>
        <v>25.0176</v>
      </c>
      <c r="L41" s="69"/>
      <c r="M41" s="33">
        <v>2</v>
      </c>
      <c r="N41" s="34" t="s">
        <v>8</v>
      </c>
      <c r="O41" s="39">
        <f>thresholdbrush</f>
        <v>9.5088</v>
      </c>
      <c r="P41" s="37">
        <f t="shared" si="4"/>
        <v>19.0176</v>
      </c>
      <c r="Q41" s="96"/>
      <c r="S41" s="110" t="str">
        <f>+E41</f>
        <v>Pin on bottom brush strip</v>
      </c>
      <c r="T41" s="114">
        <f>+K41</f>
        <v>25.0176</v>
      </c>
      <c r="U41" s="12"/>
      <c r="V41" s="12">
        <v>10</v>
      </c>
      <c r="W41" s="19">
        <f>ROUND(+IF(V41&gt;0,T41/V41,""),2)</f>
        <v>2.5</v>
      </c>
      <c r="X41" s="111"/>
    </row>
    <row r="42" spans="1:24" ht="12.75" hidden="1" outlineLevel="1">
      <c r="A42" s="60"/>
      <c r="B42" s="61"/>
      <c r="C42" s="64"/>
      <c r="D42" s="63"/>
      <c r="E42" s="38"/>
      <c r="F42" s="33"/>
      <c r="G42" s="34"/>
      <c r="H42" s="39"/>
      <c r="I42" s="39"/>
      <c r="J42" s="36">
        <f t="shared" si="2"/>
      </c>
      <c r="K42" s="37">
        <f t="shared" si="3"/>
      </c>
      <c r="L42" s="31"/>
      <c r="M42" s="33"/>
      <c r="N42" s="34"/>
      <c r="O42" s="36"/>
      <c r="P42" s="37">
        <f t="shared" si="4"/>
      </c>
      <c r="Q42" s="54"/>
      <c r="S42" s="110"/>
      <c r="T42" s="12"/>
      <c r="U42" s="12"/>
      <c r="V42" s="12"/>
      <c r="W42" s="19"/>
      <c r="X42" s="111"/>
    </row>
    <row r="43" spans="1:24" ht="12.75" hidden="1" outlineLevel="1">
      <c r="A43" s="60"/>
      <c r="B43" s="61"/>
      <c r="C43" s="64"/>
      <c r="D43" s="63"/>
      <c r="E43" s="38" t="s">
        <v>30</v>
      </c>
      <c r="F43" s="33"/>
      <c r="G43" s="34"/>
      <c r="H43" s="39"/>
      <c r="I43" s="39"/>
      <c r="J43" s="36">
        <f t="shared" si="2"/>
      </c>
      <c r="K43" s="37">
        <f t="shared" si="3"/>
      </c>
      <c r="L43" s="31"/>
      <c r="M43" s="33" t="s">
        <v>1</v>
      </c>
      <c r="N43" s="34"/>
      <c r="O43" s="36">
        <v>5</v>
      </c>
      <c r="P43" s="37">
        <f t="shared" si="4"/>
        <v>5</v>
      </c>
      <c r="Q43" s="54"/>
      <c r="S43" s="110" t="str">
        <f>+E43</f>
        <v>Delivery intrnet sourced materials</v>
      </c>
      <c r="T43" s="114">
        <f>+K43</f>
      </c>
      <c r="U43" s="12"/>
      <c r="V43" s="12"/>
      <c r="W43" s="19"/>
      <c r="X43" s="111"/>
    </row>
    <row r="44" spans="1:24" ht="12.75" hidden="1" outlineLevel="1">
      <c r="A44" s="60"/>
      <c r="B44" s="61"/>
      <c r="C44" s="64"/>
      <c r="D44" s="63"/>
      <c r="E44" s="38"/>
      <c r="F44" s="33"/>
      <c r="G44" s="34"/>
      <c r="H44" s="39"/>
      <c r="I44" s="39"/>
      <c r="J44" s="36">
        <f t="shared" si="2"/>
      </c>
      <c r="K44" s="37">
        <f t="shared" si="3"/>
      </c>
      <c r="L44" s="31"/>
      <c r="M44" s="33"/>
      <c r="N44" s="34"/>
      <c r="O44" s="36"/>
      <c r="P44" s="37">
        <f t="shared" si="4"/>
      </c>
      <c r="Q44" s="54"/>
      <c r="S44" s="110"/>
      <c r="T44" s="12"/>
      <c r="U44" s="12"/>
      <c r="V44" s="12"/>
      <c r="W44" s="19"/>
      <c r="X44" s="111"/>
    </row>
    <row r="45" spans="1:24" ht="12.75" hidden="1" outlineLevel="1">
      <c r="A45" s="60"/>
      <c r="B45" s="61"/>
      <c r="C45" s="64"/>
      <c r="D45" s="63"/>
      <c r="E45" s="38" t="s">
        <v>362</v>
      </c>
      <c r="F45" s="33">
        <v>10</v>
      </c>
      <c r="G45" s="34" t="s">
        <v>363</v>
      </c>
      <c r="H45" s="39"/>
      <c r="I45" s="39"/>
      <c r="J45" s="36">
        <f>SUM(K35:K44)</f>
        <v>484.15520000000004</v>
      </c>
      <c r="K45" s="37">
        <f>+J45*F45%</f>
        <v>48.41552000000001</v>
      </c>
      <c r="L45" s="31"/>
      <c r="M45" s="33"/>
      <c r="N45" s="34"/>
      <c r="O45" s="36"/>
      <c r="P45" s="37">
        <f t="shared" si="4"/>
      </c>
      <c r="Q45" s="54"/>
      <c r="S45" s="110"/>
      <c r="T45" s="12"/>
      <c r="U45" s="12"/>
      <c r="V45" s="12"/>
      <c r="W45" s="19"/>
      <c r="X45" s="111"/>
    </row>
    <row r="46" spans="1:24" ht="12.75" collapsed="1">
      <c r="A46" s="60"/>
      <c r="B46" s="61"/>
      <c r="C46" s="64"/>
      <c r="D46" s="63"/>
      <c r="E46" s="38"/>
      <c r="F46" s="33"/>
      <c r="G46" s="34"/>
      <c r="H46" s="39"/>
      <c r="I46" s="39"/>
      <c r="J46" s="36">
        <f>IF(+I46+H46&gt;0,I46+(H46*labour),"")</f>
      </c>
      <c r="K46" s="37">
        <f>+IF(F46="item",J46,IF(F46&lt;&gt;0,F46*J46,""))</f>
      </c>
      <c r="L46" s="31"/>
      <c r="M46" s="33"/>
      <c r="N46" s="34"/>
      <c r="O46" s="36"/>
      <c r="P46" s="37">
        <f t="shared" si="4"/>
      </c>
      <c r="Q46" s="54"/>
      <c r="S46" s="110"/>
      <c r="T46" s="12"/>
      <c r="U46" s="12"/>
      <c r="V46" s="12"/>
      <c r="W46" s="19"/>
      <c r="X46" s="111"/>
    </row>
    <row r="47" spans="1:24" ht="12.75">
      <c r="A47" s="60"/>
      <c r="B47" s="61"/>
      <c r="C47" s="64"/>
      <c r="D47" s="63"/>
      <c r="E47" s="32" t="s">
        <v>86</v>
      </c>
      <c r="F47" s="33"/>
      <c r="G47" s="34"/>
      <c r="H47" s="35"/>
      <c r="I47" s="35"/>
      <c r="J47" s="36"/>
      <c r="K47" s="53">
        <f>SUM(K49:K56)</f>
        <v>225.32400000000007</v>
      </c>
      <c r="L47" s="31"/>
      <c r="M47" s="33"/>
      <c r="N47" s="34"/>
      <c r="O47" s="36"/>
      <c r="P47" s="53">
        <f>SUM(P49:P56)</f>
        <v>147.84000000000003</v>
      </c>
      <c r="Q47" s="54"/>
      <c r="S47" s="110"/>
      <c r="T47" s="12"/>
      <c r="U47" s="12"/>
      <c r="V47" s="12"/>
      <c r="W47" s="112">
        <f>SUM(W49:W53)</f>
        <v>20.48</v>
      </c>
      <c r="X47" s="111"/>
    </row>
    <row r="48" spans="1:24" ht="12.75">
      <c r="A48" s="60"/>
      <c r="B48" s="61"/>
      <c r="C48" s="64"/>
      <c r="D48" s="63"/>
      <c r="E48" s="32"/>
      <c r="F48" s="33"/>
      <c r="G48" s="34"/>
      <c r="H48" s="35"/>
      <c r="I48" s="35"/>
      <c r="J48" s="36"/>
      <c r="K48" s="37">
        <f>+IF(F48="item",J48,IF(F48&lt;&gt;0,F48*J48,""))</f>
      </c>
      <c r="L48" s="31"/>
      <c r="M48" s="33"/>
      <c r="N48" s="34"/>
      <c r="O48" s="36"/>
      <c r="P48" s="37"/>
      <c r="Q48" s="54"/>
      <c r="S48" s="110"/>
      <c r="T48" s="12"/>
      <c r="U48" s="12"/>
      <c r="V48" s="12"/>
      <c r="W48" s="19"/>
      <c r="X48" s="111"/>
    </row>
    <row r="49" spans="1:24" ht="38.25" hidden="1" outlineLevel="1">
      <c r="A49" s="60"/>
      <c r="B49" s="61"/>
      <c r="C49" s="64"/>
      <c r="D49" s="63"/>
      <c r="E49" s="38" t="s">
        <v>17</v>
      </c>
      <c r="F49" s="33"/>
      <c r="G49" s="34"/>
      <c r="H49" s="35"/>
      <c r="I49" s="35"/>
      <c r="J49" s="36"/>
      <c r="K49" s="37"/>
      <c r="L49" s="54" t="s">
        <v>22</v>
      </c>
      <c r="M49" s="33"/>
      <c r="N49" s="34"/>
      <c r="O49" s="36"/>
      <c r="P49" s="37"/>
      <c r="Q49" s="54" t="s">
        <v>22</v>
      </c>
      <c r="S49" s="110"/>
      <c r="T49" s="12"/>
      <c r="U49" s="12"/>
      <c r="V49" s="12"/>
      <c r="W49" s="19"/>
      <c r="X49" s="111"/>
    </row>
    <row r="50" spans="1:24" ht="12.75" hidden="1" outlineLevel="1">
      <c r="A50" s="60"/>
      <c r="B50" s="61"/>
      <c r="C50" s="64"/>
      <c r="D50" s="63"/>
      <c r="E50" s="32"/>
      <c r="F50" s="33"/>
      <c r="G50" s="34"/>
      <c r="H50" s="35"/>
      <c r="I50" s="35"/>
      <c r="J50" s="36"/>
      <c r="K50" s="37"/>
      <c r="L50" s="31"/>
      <c r="M50" s="33"/>
      <c r="N50" s="34"/>
      <c r="O50" s="36"/>
      <c r="P50" s="37"/>
      <c r="Q50" s="54"/>
      <c r="S50" s="113" t="s">
        <v>257</v>
      </c>
      <c r="T50" s="12"/>
      <c r="U50" s="12"/>
      <c r="V50" s="12"/>
      <c r="W50" s="19"/>
      <c r="X50" s="111"/>
    </row>
    <row r="51" spans="1:24" ht="39.75" customHeight="1" hidden="1" outlineLevel="1">
      <c r="A51" s="60"/>
      <c r="B51" s="61"/>
      <c r="C51" s="64"/>
      <c r="D51" s="63"/>
      <c r="E51" s="52" t="s">
        <v>18</v>
      </c>
      <c r="F51" s="33">
        <v>32</v>
      </c>
      <c r="G51" s="34" t="s">
        <v>8</v>
      </c>
      <c r="H51" s="39">
        <v>0.05</v>
      </c>
      <c r="I51" s="39">
        <f>bulb</f>
        <v>3.3600000000000008</v>
      </c>
      <c r="J51" s="36">
        <f>IF(+I51+H51&gt;0,I51+(H51*labour),"")</f>
        <v>4.860000000000001</v>
      </c>
      <c r="K51" s="37">
        <f>+IF(F51="item",J51,IF(F51&lt;&gt;0,F51*J51,""))</f>
        <v>155.52000000000004</v>
      </c>
      <c r="L51" s="31"/>
      <c r="M51" s="33">
        <f>+F51</f>
        <v>32</v>
      </c>
      <c r="N51" s="34" t="s">
        <v>8</v>
      </c>
      <c r="O51" s="36">
        <f>bulb</f>
        <v>3.3600000000000008</v>
      </c>
      <c r="P51" s="37">
        <f>+IF(M51="item",O51,IF(M51&lt;&gt;0,M51*O51,""))</f>
        <v>107.52000000000002</v>
      </c>
      <c r="Q51" s="54"/>
      <c r="S51" s="110" t="str">
        <f>+E51</f>
        <v>Pendants/ standard and table lamps</v>
      </c>
      <c r="T51" s="114">
        <f>+K51</f>
        <v>155.52000000000004</v>
      </c>
      <c r="U51" s="12"/>
      <c r="V51" s="12">
        <v>10</v>
      </c>
      <c r="W51" s="19">
        <f>ROUND(+IF(V51&gt;0,T51/V51,""),2)</f>
        <v>15.55</v>
      </c>
      <c r="X51" s="111"/>
    </row>
    <row r="52" spans="1:24" ht="12.75" hidden="1" outlineLevel="1">
      <c r="A52" s="60"/>
      <c r="B52" s="61"/>
      <c r="C52" s="64"/>
      <c r="D52" s="63"/>
      <c r="E52" s="52"/>
      <c r="F52" s="33"/>
      <c r="G52" s="34"/>
      <c r="H52" s="39"/>
      <c r="I52" s="39"/>
      <c r="J52" s="36"/>
      <c r="K52" s="37"/>
      <c r="L52" s="31"/>
      <c r="M52" s="33"/>
      <c r="N52" s="34"/>
      <c r="O52" s="36"/>
      <c r="P52" s="37"/>
      <c r="Q52" s="54"/>
      <c r="S52" s="110"/>
      <c r="T52" s="114"/>
      <c r="U52" s="12"/>
      <c r="V52" s="12"/>
      <c r="W52" s="19"/>
      <c r="X52" s="111"/>
    </row>
    <row r="53" spans="1:24" ht="12.75" hidden="1" outlineLevel="1">
      <c r="A53" s="60"/>
      <c r="B53" s="61"/>
      <c r="C53" s="64"/>
      <c r="D53" s="63"/>
      <c r="E53" s="52" t="s">
        <v>19</v>
      </c>
      <c r="F53" s="33">
        <v>6</v>
      </c>
      <c r="G53" s="34" t="s">
        <v>8</v>
      </c>
      <c r="H53" s="39">
        <v>0.05</v>
      </c>
      <c r="I53" s="39">
        <f>spot</f>
        <v>6.7200000000000015</v>
      </c>
      <c r="J53" s="36">
        <f>IF(+I53+H53&gt;0,I53+(H53*labour),"")</f>
        <v>8.220000000000002</v>
      </c>
      <c r="K53" s="37">
        <f>+IF(F53="item",J53,IF(F53&lt;&gt;0,F53*J53,""))</f>
        <v>49.320000000000014</v>
      </c>
      <c r="L53" s="31" t="s">
        <v>20</v>
      </c>
      <c r="M53" s="33">
        <f>+F53</f>
        <v>6</v>
      </c>
      <c r="N53" s="34" t="s">
        <v>8</v>
      </c>
      <c r="O53" s="36">
        <f>spot</f>
        <v>6.7200000000000015</v>
      </c>
      <c r="P53" s="37">
        <f>+IF(M53="item",O53,IF(M53&lt;&gt;0,M53*O53,""))</f>
        <v>40.32000000000001</v>
      </c>
      <c r="Q53" s="54" t="s">
        <v>20</v>
      </c>
      <c r="S53" s="110" t="str">
        <f>+E53</f>
        <v>GU10 spot lamps</v>
      </c>
      <c r="T53" s="114">
        <f>+K53</f>
        <v>49.320000000000014</v>
      </c>
      <c r="U53" s="12"/>
      <c r="V53" s="12">
        <v>10</v>
      </c>
      <c r="W53" s="19">
        <f>ROUND(+IF(V53&gt;0,T53/V53,""),2)</f>
        <v>4.93</v>
      </c>
      <c r="X53" s="111"/>
    </row>
    <row r="54" spans="1:24" ht="12.75" hidden="1" outlineLevel="1">
      <c r="A54" s="60"/>
      <c r="B54" s="61"/>
      <c r="C54" s="64"/>
      <c r="D54" s="63"/>
      <c r="E54" s="52"/>
      <c r="F54" s="33"/>
      <c r="G54" s="34"/>
      <c r="H54" s="39"/>
      <c r="I54" s="39"/>
      <c r="J54" s="36"/>
      <c r="K54" s="37"/>
      <c r="L54" s="31"/>
      <c r="M54" s="33"/>
      <c r="N54" s="34"/>
      <c r="O54" s="36"/>
      <c r="P54" s="37"/>
      <c r="Q54" s="54"/>
      <c r="S54" s="110"/>
      <c r="T54" s="114"/>
      <c r="U54" s="12"/>
      <c r="V54" s="12"/>
      <c r="W54" s="19"/>
      <c r="X54" s="111"/>
    </row>
    <row r="55" spans="1:24" ht="12.75" hidden="1" outlineLevel="1">
      <c r="A55" s="60"/>
      <c r="B55" s="61"/>
      <c r="C55" s="64"/>
      <c r="D55" s="63"/>
      <c r="E55" s="38" t="s">
        <v>362</v>
      </c>
      <c r="F55" s="33">
        <v>10</v>
      </c>
      <c r="G55" s="34" t="s">
        <v>363</v>
      </c>
      <c r="H55" s="39"/>
      <c r="I55" s="39"/>
      <c r="J55" s="36">
        <f>SUM(K49:K53)</f>
        <v>204.84000000000006</v>
      </c>
      <c r="K55" s="37">
        <f>+J55*F55%</f>
        <v>20.48400000000001</v>
      </c>
      <c r="L55" s="31"/>
      <c r="M55" s="33"/>
      <c r="N55" s="34"/>
      <c r="O55" s="36"/>
      <c r="P55" s="37"/>
      <c r="Q55" s="54"/>
      <c r="S55" s="110"/>
      <c r="T55" s="114"/>
      <c r="U55" s="12"/>
      <c r="V55" s="12"/>
      <c r="W55" s="19"/>
      <c r="X55" s="111"/>
    </row>
    <row r="56" spans="1:24" ht="12.75" hidden="1" outlineLevel="1">
      <c r="A56" s="60"/>
      <c r="B56" s="61"/>
      <c r="C56" s="64"/>
      <c r="D56" s="63"/>
      <c r="E56" s="38"/>
      <c r="F56" s="33"/>
      <c r="G56" s="34"/>
      <c r="H56" s="39"/>
      <c r="I56" s="39"/>
      <c r="J56" s="36">
        <f aca="true" t="shared" si="5" ref="J56:J66">IF(+I56+H56&gt;0,I56+(H56*labour),"")</f>
      </c>
      <c r="K56" s="37">
        <f>+IF(F56="item",J56,IF(F56&lt;&gt;0,F56*J56,""))</f>
      </c>
      <c r="L56" s="31"/>
      <c r="M56" s="33"/>
      <c r="N56" s="34"/>
      <c r="O56" s="36"/>
      <c r="P56" s="37">
        <f aca="true" t="shared" si="6" ref="P56:P66">+IF(M56="item",O56,IF(M56&lt;&gt;0,M56*O56,""))</f>
      </c>
      <c r="Q56" s="54"/>
      <c r="S56" s="110"/>
      <c r="T56" s="114"/>
      <c r="U56" s="12"/>
      <c r="V56" s="12"/>
      <c r="W56" s="19"/>
      <c r="X56" s="111"/>
    </row>
    <row r="57" spans="1:24" ht="12.75" collapsed="1">
      <c r="A57" s="60"/>
      <c r="B57" s="61"/>
      <c r="C57" s="64"/>
      <c r="D57" s="63"/>
      <c r="E57" s="38"/>
      <c r="F57" s="33"/>
      <c r="G57" s="34"/>
      <c r="H57" s="39"/>
      <c r="I57" s="39"/>
      <c r="J57" s="36">
        <f t="shared" si="5"/>
      </c>
      <c r="K57" s="37">
        <f>+IF(F57="item",J57,IF(F57&lt;&gt;0,F57*J57,""))</f>
      </c>
      <c r="L57" s="31"/>
      <c r="M57" s="33"/>
      <c r="N57" s="34"/>
      <c r="O57" s="36"/>
      <c r="P57" s="37">
        <f t="shared" si="6"/>
      </c>
      <c r="Q57" s="54"/>
      <c r="S57" s="110"/>
      <c r="T57" s="12"/>
      <c r="U57" s="12"/>
      <c r="V57" s="12"/>
      <c r="W57" s="19"/>
      <c r="X57" s="111"/>
    </row>
    <row r="58" spans="1:24" ht="39" customHeight="1">
      <c r="A58" s="60"/>
      <c r="B58" s="61"/>
      <c r="C58" s="64"/>
      <c r="D58" s="63"/>
      <c r="E58" s="32" t="s">
        <v>87</v>
      </c>
      <c r="F58" s="33"/>
      <c r="G58" s="34"/>
      <c r="H58" s="39"/>
      <c r="I58" s="39"/>
      <c r="J58" s="36">
        <f t="shared" si="5"/>
      </c>
      <c r="K58" s="53">
        <f>SUM(K60:K68)</f>
        <v>3501.9428125</v>
      </c>
      <c r="L58" s="31" t="s">
        <v>54</v>
      </c>
      <c r="M58" s="72"/>
      <c r="N58" s="73"/>
      <c r="O58" s="74"/>
      <c r="P58" s="75">
        <f t="shared" si="6"/>
      </c>
      <c r="Q58" s="76"/>
      <c r="S58" s="110"/>
      <c r="T58" s="12"/>
      <c r="U58" s="12"/>
      <c r="V58" s="12"/>
      <c r="W58" s="112">
        <f>SUM(W59:W68)</f>
        <v>84.52</v>
      </c>
      <c r="X58" s="111"/>
    </row>
    <row r="59" spans="1:24" ht="12.75" hidden="1" outlineLevel="1">
      <c r="A59" s="60"/>
      <c r="B59" s="61"/>
      <c r="C59" s="64"/>
      <c r="D59" s="63"/>
      <c r="E59" s="38"/>
      <c r="F59" s="33"/>
      <c r="G59" s="34"/>
      <c r="H59" s="39"/>
      <c r="I59" s="39"/>
      <c r="J59" s="36">
        <f t="shared" si="5"/>
      </c>
      <c r="K59" s="37">
        <f aca="true" t="shared" si="7" ref="K59:K66">+IF(F59="item",J59,IF(F59&lt;&gt;0,F59*J59,""))</f>
      </c>
      <c r="L59" s="31"/>
      <c r="M59" s="72"/>
      <c r="N59" s="73"/>
      <c r="O59" s="74"/>
      <c r="P59" s="75">
        <f t="shared" si="6"/>
      </c>
      <c r="Q59" s="76"/>
      <c r="S59" s="113" t="s">
        <v>257</v>
      </c>
      <c r="T59" s="12"/>
      <c r="U59" s="12"/>
      <c r="V59" s="12"/>
      <c r="W59" s="19"/>
      <c r="X59" s="111"/>
    </row>
    <row r="60" spans="1:24" ht="12.75" hidden="1" outlineLevel="1">
      <c r="A60" s="60"/>
      <c r="B60" s="61"/>
      <c r="C60" s="64"/>
      <c r="D60" s="65"/>
      <c r="E60" s="38" t="s">
        <v>51</v>
      </c>
      <c r="F60" s="33">
        <v>1</v>
      </c>
      <c r="G60" s="34" t="s">
        <v>8</v>
      </c>
      <c r="H60" s="39">
        <v>8</v>
      </c>
      <c r="I60" s="39">
        <f>prog</f>
        <v>73.70812499999998</v>
      </c>
      <c r="J60" s="36">
        <f t="shared" si="5"/>
        <v>313.708125</v>
      </c>
      <c r="K60" s="37">
        <f t="shared" si="7"/>
        <v>313.708125</v>
      </c>
      <c r="L60" s="31" t="s">
        <v>258</v>
      </c>
      <c r="M60" s="72"/>
      <c r="N60" s="73"/>
      <c r="O60" s="74"/>
      <c r="P60" s="75">
        <f t="shared" si="6"/>
      </c>
      <c r="Q60" s="76"/>
      <c r="S60" s="110" t="str">
        <f>+E60</f>
        <v>Two zone heating controller</v>
      </c>
      <c r="T60" s="114">
        <f>+K60</f>
        <v>313.708125</v>
      </c>
      <c r="U60" s="12"/>
      <c r="V60" s="12">
        <v>20</v>
      </c>
      <c r="W60" s="19">
        <f>ROUND(+IF(V60&gt;0,T60/V60,""),2)</f>
        <v>15.69</v>
      </c>
      <c r="X60" s="111"/>
    </row>
    <row r="61" spans="1:24" ht="12.75" hidden="1" outlineLevel="1">
      <c r="A61" s="60"/>
      <c r="B61" s="61"/>
      <c r="C61" s="64"/>
      <c r="D61" s="63"/>
      <c r="E61" s="38"/>
      <c r="F61" s="33"/>
      <c r="G61" s="34"/>
      <c r="H61" s="39"/>
      <c r="I61" s="39"/>
      <c r="J61" s="36">
        <f t="shared" si="5"/>
      </c>
      <c r="K61" s="37">
        <f t="shared" si="7"/>
      </c>
      <c r="L61" s="31"/>
      <c r="M61" s="72"/>
      <c r="N61" s="73"/>
      <c r="O61" s="74"/>
      <c r="P61" s="75">
        <f t="shared" si="6"/>
      </c>
      <c r="Q61" s="76"/>
      <c r="S61" s="110"/>
      <c r="T61" s="12"/>
      <c r="U61" s="12"/>
      <c r="V61" s="12"/>
      <c r="W61" s="19"/>
      <c r="X61" s="111"/>
    </row>
    <row r="62" spans="1:24" ht="12.75" hidden="1" outlineLevel="1">
      <c r="A62" s="60"/>
      <c r="B62" s="61"/>
      <c r="C62" s="64"/>
      <c r="D62" s="63"/>
      <c r="E62" s="38" t="s">
        <v>52</v>
      </c>
      <c r="F62" s="33">
        <v>9</v>
      </c>
      <c r="G62" s="34" t="s">
        <v>8</v>
      </c>
      <c r="H62" s="39">
        <v>0.5</v>
      </c>
      <c r="I62" s="39">
        <f>TRV</f>
        <v>11.66125</v>
      </c>
      <c r="J62" s="36">
        <f t="shared" si="5"/>
        <v>26.661250000000003</v>
      </c>
      <c r="K62" s="37">
        <f t="shared" si="7"/>
        <v>239.95125000000002</v>
      </c>
      <c r="L62" s="31"/>
      <c r="M62" s="72"/>
      <c r="N62" s="73"/>
      <c r="O62" s="74"/>
      <c r="P62" s="75">
        <f t="shared" si="6"/>
      </c>
      <c r="Q62" s="76"/>
      <c r="S62" s="110" t="str">
        <f>+E62</f>
        <v>Thermostatic radiator valves</v>
      </c>
      <c r="T62" s="114">
        <f>+K62</f>
        <v>239.95125000000002</v>
      </c>
      <c r="U62" s="12"/>
      <c r="V62" s="12">
        <v>10</v>
      </c>
      <c r="W62" s="19">
        <f>ROUND(+IF(V62&gt;0,T62/V62,""),2)</f>
        <v>24</v>
      </c>
      <c r="X62" s="111"/>
    </row>
    <row r="63" spans="1:24" ht="12.75" hidden="1" outlineLevel="1">
      <c r="A63" s="60"/>
      <c r="B63" s="61"/>
      <c r="C63" s="64"/>
      <c r="D63" s="63"/>
      <c r="E63" s="38"/>
      <c r="F63" s="33"/>
      <c r="G63" s="34"/>
      <c r="H63" s="39"/>
      <c r="I63" s="39"/>
      <c r="J63" s="36">
        <f t="shared" si="5"/>
      </c>
      <c r="K63" s="37">
        <f t="shared" si="7"/>
      </c>
      <c r="L63" s="31"/>
      <c r="M63" s="72"/>
      <c r="N63" s="73"/>
      <c r="O63" s="74"/>
      <c r="P63" s="75">
        <f t="shared" si="6"/>
      </c>
      <c r="Q63" s="76"/>
      <c r="S63" s="110"/>
      <c r="T63" s="12"/>
      <c r="U63" s="12"/>
      <c r="V63" s="12"/>
      <c r="W63" s="19"/>
      <c r="X63" s="111"/>
    </row>
    <row r="64" spans="1:24" ht="12.75" hidden="1" outlineLevel="1">
      <c r="A64" s="60"/>
      <c r="B64" s="61"/>
      <c r="C64" s="64"/>
      <c r="D64" s="63"/>
      <c r="E64" s="38" t="s">
        <v>53</v>
      </c>
      <c r="F64" s="33">
        <v>1</v>
      </c>
      <c r="G64" s="34" t="s">
        <v>8</v>
      </c>
      <c r="H64" s="39">
        <v>0.5</v>
      </c>
      <c r="I64" s="39">
        <f>tankstat</f>
        <v>14.924999999999999</v>
      </c>
      <c r="J64" s="36">
        <f t="shared" si="5"/>
        <v>29.924999999999997</v>
      </c>
      <c r="K64" s="37">
        <f t="shared" si="7"/>
        <v>29.924999999999997</v>
      </c>
      <c r="L64" s="31"/>
      <c r="M64" s="72"/>
      <c r="N64" s="73"/>
      <c r="O64" s="74"/>
      <c r="P64" s="75">
        <f t="shared" si="6"/>
      </c>
      <c r="Q64" s="76"/>
      <c r="S64" s="110" t="str">
        <f>+E64</f>
        <v>Thermostatic control to hot water tank</v>
      </c>
      <c r="T64" s="114">
        <f>+K64</f>
        <v>29.924999999999997</v>
      </c>
      <c r="U64" s="12"/>
      <c r="V64" s="12">
        <v>20</v>
      </c>
      <c r="W64" s="19">
        <f>ROUND(+IF(V64&gt;0,T64/V64,""),2)</f>
        <v>1.5</v>
      </c>
      <c r="X64" s="111"/>
    </row>
    <row r="65" spans="1:24" ht="12.75" hidden="1" outlineLevel="1">
      <c r="A65" s="60"/>
      <c r="B65" s="61"/>
      <c r="C65" s="64"/>
      <c r="D65" s="63"/>
      <c r="E65" s="38"/>
      <c r="F65" s="33"/>
      <c r="G65" s="34"/>
      <c r="H65" s="39"/>
      <c r="I65" s="39"/>
      <c r="J65" s="36">
        <f t="shared" si="5"/>
      </c>
      <c r="K65" s="37">
        <f t="shared" si="7"/>
      </c>
      <c r="L65" s="31"/>
      <c r="M65" s="72"/>
      <c r="N65" s="73"/>
      <c r="O65" s="74"/>
      <c r="P65" s="75">
        <f t="shared" si="6"/>
      </c>
      <c r="Q65" s="76"/>
      <c r="S65" s="110"/>
      <c r="T65" s="12"/>
      <c r="U65" s="12"/>
      <c r="V65" s="12"/>
      <c r="W65" s="19"/>
      <c r="X65" s="111"/>
    </row>
    <row r="66" spans="1:24" ht="25.5" hidden="1" outlineLevel="1">
      <c r="A66" s="60"/>
      <c r="B66" s="61"/>
      <c r="C66" s="64"/>
      <c r="D66" s="63"/>
      <c r="E66" s="38" t="s">
        <v>259</v>
      </c>
      <c r="F66" s="33" t="s">
        <v>1</v>
      </c>
      <c r="G66" s="34"/>
      <c r="H66" s="39">
        <v>80</v>
      </c>
      <c r="I66" s="39">
        <v>200</v>
      </c>
      <c r="J66" s="36">
        <f t="shared" si="5"/>
        <v>2600</v>
      </c>
      <c r="K66" s="37">
        <f t="shared" si="7"/>
        <v>2600</v>
      </c>
      <c r="L66" s="31" t="s">
        <v>260</v>
      </c>
      <c r="M66" s="72"/>
      <c r="N66" s="73"/>
      <c r="O66" s="74"/>
      <c r="P66" s="75">
        <f t="shared" si="6"/>
      </c>
      <c r="Q66" s="76"/>
      <c r="S66" s="110" t="str">
        <f>+E66</f>
        <v>Conversion to two zone heating</v>
      </c>
      <c r="T66" s="114">
        <f>+K66</f>
        <v>2600</v>
      </c>
      <c r="U66" s="12"/>
      <c r="V66" s="12">
        <v>60</v>
      </c>
      <c r="W66" s="19">
        <f>ROUND(+IF(V66&gt;0,T66/V66,""),2)</f>
        <v>43.33</v>
      </c>
      <c r="X66" s="111"/>
    </row>
    <row r="67" spans="1:24" ht="12.75" hidden="1" outlineLevel="1">
      <c r="A67" s="60"/>
      <c r="B67" s="61"/>
      <c r="C67" s="64"/>
      <c r="D67" s="63"/>
      <c r="E67" s="38"/>
      <c r="F67" s="33"/>
      <c r="G67" s="34"/>
      <c r="H67" s="39"/>
      <c r="I67" s="39"/>
      <c r="J67" s="36"/>
      <c r="K67" s="37"/>
      <c r="L67" s="31"/>
      <c r="M67" s="72"/>
      <c r="N67" s="73"/>
      <c r="O67" s="74"/>
      <c r="P67" s="75"/>
      <c r="Q67" s="76"/>
      <c r="S67" s="110"/>
      <c r="T67" s="114"/>
      <c r="U67" s="12"/>
      <c r="V67" s="12"/>
      <c r="W67" s="19"/>
      <c r="X67" s="111"/>
    </row>
    <row r="68" spans="1:24" ht="12.75" hidden="1" outlineLevel="1">
      <c r="A68" s="60"/>
      <c r="B68" s="61"/>
      <c r="C68" s="64"/>
      <c r="D68" s="63"/>
      <c r="E68" s="38" t="s">
        <v>362</v>
      </c>
      <c r="F68" s="33">
        <v>10</v>
      </c>
      <c r="G68" s="34" t="s">
        <v>363</v>
      </c>
      <c r="H68" s="39"/>
      <c r="I68" s="39"/>
      <c r="J68" s="36">
        <f>SUM(K59:K67)</f>
        <v>3183.584375</v>
      </c>
      <c r="K68" s="37">
        <f>+J68*F68%</f>
        <v>318.35843750000004</v>
      </c>
      <c r="L68" s="31"/>
      <c r="M68" s="72"/>
      <c r="N68" s="73"/>
      <c r="O68" s="74"/>
      <c r="P68" s="75">
        <f>+IF(M68="item",O68,IF(M68&lt;&gt;0,M68*O68,""))</f>
      </c>
      <c r="Q68" s="76"/>
      <c r="S68" s="110"/>
      <c r="T68" s="12"/>
      <c r="U68" s="12"/>
      <c r="V68" s="12"/>
      <c r="W68" s="19"/>
      <c r="X68" s="111"/>
    </row>
    <row r="69" spans="1:24" ht="12.75" collapsed="1">
      <c r="A69" s="60"/>
      <c r="B69" s="61"/>
      <c r="C69" s="64"/>
      <c r="D69" s="63"/>
      <c r="E69" s="38"/>
      <c r="F69" s="33"/>
      <c r="G69" s="34"/>
      <c r="H69" s="39"/>
      <c r="I69" s="39"/>
      <c r="J69" s="36">
        <f>IF(+I69+H69&gt;0,I69+(H69*labour),"")</f>
      </c>
      <c r="K69" s="37">
        <f>+IF(F69="item",J69,IF(F69&lt;&gt;0,F69*J69,""))</f>
      </c>
      <c r="L69" s="31"/>
      <c r="M69" s="33"/>
      <c r="N69" s="34"/>
      <c r="O69" s="36"/>
      <c r="P69" s="37">
        <f>+IF(M69="item",O69,IF(M69&lt;&gt;0,M69*O69,""))</f>
      </c>
      <c r="Q69" s="54"/>
      <c r="S69" s="110"/>
      <c r="T69" s="12"/>
      <c r="U69" s="12"/>
      <c r="V69" s="12"/>
      <c r="W69" s="19"/>
      <c r="X69" s="111"/>
    </row>
    <row r="70" spans="1:24" ht="12.75">
      <c r="A70" s="60"/>
      <c r="B70" s="61"/>
      <c r="C70" s="64"/>
      <c r="D70" s="63"/>
      <c r="E70" s="38"/>
      <c r="F70" s="33"/>
      <c r="G70" s="34"/>
      <c r="H70" s="39"/>
      <c r="I70" s="39"/>
      <c r="J70" s="36">
        <f>IF(+I70+H70&gt;0,I70+(H70*labour),"")</f>
      </c>
      <c r="K70" s="37">
        <f>+IF(F70="item",J70,IF(F70&lt;&gt;0,F70*J70,""))</f>
      </c>
      <c r="L70" s="31"/>
      <c r="M70" s="33"/>
      <c r="N70" s="34"/>
      <c r="O70" s="36"/>
      <c r="P70" s="37">
        <f>+IF(M70="item",O70,IF(M70&lt;&gt;0,M70*O70,""))</f>
      </c>
      <c r="Q70" s="54"/>
      <c r="S70" s="110"/>
      <c r="T70" s="12"/>
      <c r="U70" s="12"/>
      <c r="V70" s="12"/>
      <c r="W70" s="19"/>
      <c r="X70" s="111"/>
    </row>
    <row r="71" spans="1:24" ht="12.75">
      <c r="A71" s="60"/>
      <c r="B71" s="61"/>
      <c r="C71" s="64"/>
      <c r="D71" s="63"/>
      <c r="E71" s="32" t="s">
        <v>88</v>
      </c>
      <c r="F71" s="33"/>
      <c r="G71" s="34"/>
      <c r="H71" s="39"/>
      <c r="I71" s="39"/>
      <c r="J71" s="36">
        <f>IF(+I71+H71&gt;0,I71+(H71*labour),"")</f>
      </c>
      <c r="K71" s="53">
        <f>SUM(K72:K75)</f>
        <v>1056</v>
      </c>
      <c r="L71" s="31"/>
      <c r="M71" s="33"/>
      <c r="N71" s="34"/>
      <c r="O71" s="36"/>
      <c r="P71" s="53">
        <f>SUM(P72:P73)</f>
        <v>480</v>
      </c>
      <c r="Q71" s="54"/>
      <c r="S71" s="113" t="s">
        <v>257</v>
      </c>
      <c r="T71" s="12"/>
      <c r="U71" s="12"/>
      <c r="V71" s="12"/>
      <c r="W71" s="19">
        <f>SUM(W72:W73)</f>
        <v>96</v>
      </c>
      <c r="X71" s="111"/>
    </row>
    <row r="72" spans="1:24" ht="12.75" hidden="1" outlineLevel="1">
      <c r="A72" s="60"/>
      <c r="B72" s="61"/>
      <c r="C72" s="64"/>
      <c r="D72" s="63"/>
      <c r="E72" s="38"/>
      <c r="F72" s="33"/>
      <c r="G72" s="34"/>
      <c r="H72" s="39"/>
      <c r="I72" s="39"/>
      <c r="J72" s="36">
        <f>IF(+I72+H72&gt;0,I72+(H72*labour),"")</f>
      </c>
      <c r="K72" s="37">
        <f>+IF(F72="item",J72,IF(F72&lt;&gt;0,F72*J72,""))</f>
      </c>
      <c r="L72" s="31"/>
      <c r="M72" s="33"/>
      <c r="N72" s="34"/>
      <c r="O72" s="36"/>
      <c r="P72" s="37">
        <f>+IF(M72="item",O72,IF(M72&lt;&gt;0,M72*O72,""))</f>
      </c>
      <c r="Q72" s="54"/>
      <c r="S72" s="110"/>
      <c r="T72" s="12"/>
      <c r="U72" s="12"/>
      <c r="V72" s="12"/>
      <c r="W72" s="19"/>
      <c r="X72" s="111"/>
    </row>
    <row r="73" spans="1:24" ht="25.5" customHeight="1" hidden="1" outlineLevel="1">
      <c r="A73" s="60"/>
      <c r="B73" s="61"/>
      <c r="C73" s="64"/>
      <c r="D73" s="63"/>
      <c r="E73" s="38" t="s">
        <v>57</v>
      </c>
      <c r="F73" s="33">
        <f>+F35</f>
        <v>16</v>
      </c>
      <c r="G73" s="34" t="s">
        <v>8</v>
      </c>
      <c r="H73" s="39"/>
      <c r="I73" s="39"/>
      <c r="J73" s="36">
        <v>60</v>
      </c>
      <c r="K73" s="37">
        <f>+IF(F73="item",J73,IF(F73&lt;&gt;0,F73*J73,""))</f>
        <v>960</v>
      </c>
      <c r="L73" s="70" t="s">
        <v>58</v>
      </c>
      <c r="M73" s="33">
        <f>+F73</f>
        <v>16</v>
      </c>
      <c r="N73" s="34" t="s">
        <v>8</v>
      </c>
      <c r="O73" s="36">
        <v>30</v>
      </c>
      <c r="P73" s="37">
        <f>+IF(M73="item",O73,IF(M73&lt;&gt;0,M73*O73,""))</f>
        <v>480</v>
      </c>
      <c r="Q73" s="97" t="s">
        <v>58</v>
      </c>
      <c r="S73" s="110" t="str">
        <f>+E73</f>
        <v>Heavy weight thermal linings to existing curtains</v>
      </c>
      <c r="T73" s="114">
        <f>+K73</f>
        <v>960</v>
      </c>
      <c r="U73" s="12"/>
      <c r="V73" s="12">
        <v>10</v>
      </c>
      <c r="W73" s="19">
        <f>ROUND(+IF(V73&gt;0,T73/V73,""),2)</f>
        <v>96</v>
      </c>
      <c r="X73" s="111"/>
    </row>
    <row r="74" spans="1:24" ht="12.75" hidden="1" outlineLevel="1">
      <c r="A74" s="60"/>
      <c r="B74" s="61"/>
      <c r="C74" s="64"/>
      <c r="D74" s="63"/>
      <c r="E74" s="38"/>
      <c r="F74" s="33"/>
      <c r="G74" s="34"/>
      <c r="H74" s="39"/>
      <c r="I74" s="39"/>
      <c r="J74" s="36"/>
      <c r="K74" s="37"/>
      <c r="L74" s="70"/>
      <c r="M74" s="33"/>
      <c r="N74" s="34"/>
      <c r="O74" s="36"/>
      <c r="P74" s="37"/>
      <c r="Q74" s="97"/>
      <c r="S74" s="110"/>
      <c r="T74" s="114"/>
      <c r="U74" s="12"/>
      <c r="V74" s="12"/>
      <c r="W74" s="19"/>
      <c r="X74" s="111"/>
    </row>
    <row r="75" spans="1:24" ht="12.75" hidden="1" outlineLevel="1">
      <c r="A75" s="60"/>
      <c r="B75" s="61"/>
      <c r="C75" s="64"/>
      <c r="D75" s="63"/>
      <c r="E75" s="38" t="s">
        <v>362</v>
      </c>
      <c r="F75" s="33">
        <v>10</v>
      </c>
      <c r="G75" s="34" t="s">
        <v>363</v>
      </c>
      <c r="H75" s="39"/>
      <c r="I75" s="39"/>
      <c r="J75" s="36">
        <f>SUM(K73:K74)</f>
        <v>960</v>
      </c>
      <c r="K75" s="37">
        <f>+J75*F75%</f>
        <v>96</v>
      </c>
      <c r="L75" s="70"/>
      <c r="M75" s="33"/>
      <c r="N75" s="34"/>
      <c r="O75" s="36"/>
      <c r="P75" s="37"/>
      <c r="Q75" s="97"/>
      <c r="S75" s="110"/>
      <c r="T75" s="114"/>
      <c r="U75" s="12"/>
      <c r="V75" s="12"/>
      <c r="W75" s="19"/>
      <c r="X75" s="111"/>
    </row>
    <row r="76" spans="1:24" ht="12.75" collapsed="1">
      <c r="A76" s="60"/>
      <c r="B76" s="61"/>
      <c r="C76" s="64"/>
      <c r="D76" s="63"/>
      <c r="E76" s="38"/>
      <c r="F76" s="33"/>
      <c r="G76" s="34"/>
      <c r="H76" s="39"/>
      <c r="I76" s="39"/>
      <c r="J76" s="36">
        <f>IF(+I76+H76&gt;0,I76+(H76*labour),"")</f>
      </c>
      <c r="K76" s="37">
        <f>+IF(F76="item",J76,IF(F76&lt;&gt;0,F76*J76,""))</f>
      </c>
      <c r="L76" s="31"/>
      <c r="M76" s="33"/>
      <c r="N76" s="34"/>
      <c r="O76" s="36"/>
      <c r="P76" s="37">
        <f>+IF(M76="item",O76,IF(M76&lt;&gt;0,M76*O76,""))</f>
      </c>
      <c r="Q76" s="54"/>
      <c r="S76" s="110"/>
      <c r="T76" s="12"/>
      <c r="U76" s="12"/>
      <c r="V76" s="12"/>
      <c r="W76" s="19"/>
      <c r="X76" s="111"/>
    </row>
    <row r="77" spans="1:24" ht="12.75">
      <c r="A77" s="60"/>
      <c r="B77" s="61"/>
      <c r="C77" s="64"/>
      <c r="D77" s="63"/>
      <c r="E77" s="38"/>
      <c r="F77" s="33"/>
      <c r="G77" s="34"/>
      <c r="H77" s="39"/>
      <c r="I77" s="39"/>
      <c r="J77" s="36">
        <f>IF(+I77+H77&gt;0,I77+(H77*labour),"")</f>
      </c>
      <c r="K77" s="37">
        <f>+IF(F77="item",J77,IF(F77&lt;&gt;0,F77*J77,""))</f>
      </c>
      <c r="L77" s="31"/>
      <c r="M77" s="33"/>
      <c r="N77" s="34"/>
      <c r="O77" s="36"/>
      <c r="P77" s="37">
        <f>+IF(M77="item",O77,IF(M77&lt;&gt;0,M77*O77,""))</f>
      </c>
      <c r="Q77" s="54"/>
      <c r="S77" s="110"/>
      <c r="T77" s="12"/>
      <c r="U77" s="12"/>
      <c r="V77" s="12"/>
      <c r="W77" s="19"/>
      <c r="X77" s="111"/>
    </row>
    <row r="78" spans="1:24" ht="38.25">
      <c r="A78" s="60"/>
      <c r="B78" s="61"/>
      <c r="C78" s="64"/>
      <c r="D78" s="63"/>
      <c r="E78" s="142" t="s">
        <v>89</v>
      </c>
      <c r="F78" s="72"/>
      <c r="G78" s="73"/>
      <c r="H78" s="140"/>
      <c r="I78" s="140"/>
      <c r="J78" s="74">
        <f>IF(+I78+H78&gt;0,I78+(H78*labour),"")</f>
      </c>
      <c r="K78" s="165"/>
      <c r="L78" s="141" t="s">
        <v>402</v>
      </c>
      <c r="M78" s="72"/>
      <c r="N78" s="73"/>
      <c r="O78" s="74"/>
      <c r="P78" s="75">
        <f>+IF(M78="item",O78,IF(M78&lt;&gt;0,M78*O78,""))</f>
      </c>
      <c r="Q78" s="76"/>
      <c r="S78" s="113" t="s">
        <v>257</v>
      </c>
      <c r="T78" s="12"/>
      <c r="U78" s="12"/>
      <c r="V78" s="12"/>
      <c r="W78" s="112" t="e">
        <f>SUM(W80:W89)</f>
        <v>#VALUE!</v>
      </c>
      <c r="X78" s="111"/>
    </row>
    <row r="79" spans="1:24" ht="12.75" hidden="1" outlineLevel="1">
      <c r="A79" s="60"/>
      <c r="B79" s="61"/>
      <c r="C79" s="64"/>
      <c r="D79" s="65"/>
      <c r="E79" s="38"/>
      <c r="F79" s="33"/>
      <c r="G79" s="34"/>
      <c r="H79" s="39"/>
      <c r="I79" s="39"/>
      <c r="J79" s="36">
        <f>IF(+I79+H79&gt;0,I79+(H79*labour),"")</f>
      </c>
      <c r="K79" s="37">
        <f>+IF(F79="item",J79,IF(F79&lt;&gt;0,F79*J79,""))</f>
      </c>
      <c r="L79" s="31"/>
      <c r="M79" s="72"/>
      <c r="N79" s="73"/>
      <c r="O79" s="74"/>
      <c r="P79" s="75">
        <f>+IF(M79="item",O79,IF(M79&lt;&gt;0,M79*O79,""))</f>
      </c>
      <c r="Q79" s="76"/>
      <c r="S79" s="110"/>
      <c r="T79" s="12"/>
      <c r="U79" s="12"/>
      <c r="V79" s="12"/>
      <c r="W79" s="19"/>
      <c r="X79" s="111"/>
    </row>
    <row r="80" spans="1:24" ht="25.5" customHeight="1" hidden="1" outlineLevel="1">
      <c r="A80" s="60"/>
      <c r="B80" s="61"/>
      <c r="C80" s="64"/>
      <c r="D80" s="63"/>
      <c r="E80" s="190" t="s">
        <v>60</v>
      </c>
      <c r="F80" s="72"/>
      <c r="G80" s="73"/>
      <c r="H80" s="140"/>
      <c r="I80" s="140"/>
      <c r="J80" s="74"/>
      <c r="K80" s="75">
        <f>+IF(F80="item",J80,IF(F80&lt;&gt;0,F80*J80,""))</f>
      </c>
      <c r="M80" s="72"/>
      <c r="N80" s="73"/>
      <c r="O80" s="74"/>
      <c r="P80" s="75">
        <f>+IF(M80="item",O80,IF(M80&lt;&gt;0,M80*O80,""))</f>
      </c>
      <c r="Q80" s="76"/>
      <c r="S80" s="110" t="str">
        <f>+E80</f>
        <v>Lifting/ relaying existing carpet</v>
      </c>
      <c r="T80" s="114">
        <f>+K80</f>
      </c>
      <c r="U80" s="12"/>
      <c r="V80" s="12">
        <v>15</v>
      </c>
      <c r="W80" s="19" t="e">
        <f>ROUND(+IF(V80&gt;0,T80/V80,""),2)</f>
        <v>#VALUE!</v>
      </c>
      <c r="X80" s="111"/>
    </row>
    <row r="81" spans="1:24" ht="12.75" hidden="1" outlineLevel="1">
      <c r="A81" s="60"/>
      <c r="B81" s="61"/>
      <c r="C81" s="64"/>
      <c r="D81" s="63"/>
      <c r="E81" s="38"/>
      <c r="F81" s="33"/>
      <c r="G81" s="34"/>
      <c r="H81" s="39"/>
      <c r="I81" s="39"/>
      <c r="J81" s="36"/>
      <c r="K81" s="37"/>
      <c r="L81" s="31"/>
      <c r="M81" s="72"/>
      <c r="N81" s="73"/>
      <c r="O81" s="74"/>
      <c r="P81" s="75"/>
      <c r="Q81" s="76"/>
      <c r="S81" s="110"/>
      <c r="T81" s="114"/>
      <c r="U81" s="12"/>
      <c r="V81" s="12"/>
      <c r="W81" s="19"/>
      <c r="X81" s="111"/>
    </row>
    <row r="82" spans="1:24" ht="12.75" hidden="1" outlineLevel="1">
      <c r="A82" s="60"/>
      <c r="B82" s="61"/>
      <c r="C82" s="64"/>
      <c r="D82" s="63"/>
      <c r="E82" s="38"/>
      <c r="F82" s="33"/>
      <c r="G82" s="34"/>
      <c r="H82" s="39"/>
      <c r="I82" s="39"/>
      <c r="J82" s="36">
        <f>IF(+I82+H82&gt;0,I82+(H82*labour),"")</f>
      </c>
      <c r="K82" s="37">
        <f>+IF(F82="item",J82,IF(F82&lt;&gt;0,F82*J82,""))</f>
      </c>
      <c r="L82" s="31"/>
      <c r="M82" s="72"/>
      <c r="N82" s="73"/>
      <c r="O82" s="74"/>
      <c r="P82" s="75"/>
      <c r="Q82" s="76"/>
      <c r="S82" s="110"/>
      <c r="T82" s="12"/>
      <c r="U82" s="12"/>
      <c r="V82" s="12"/>
      <c r="W82" s="19"/>
      <c r="X82" s="111"/>
    </row>
    <row r="83" spans="1:24" ht="12.75" hidden="1" outlineLevel="1">
      <c r="A83" s="60"/>
      <c r="B83" s="61"/>
      <c r="C83" s="64"/>
      <c r="D83" s="63"/>
      <c r="E83" s="38" t="s">
        <v>132</v>
      </c>
      <c r="F83" s="33" t="e">
        <f>ROUND(#REF!,0)</f>
        <v>#REF!</v>
      </c>
      <c r="G83" s="34" t="s">
        <v>108</v>
      </c>
      <c r="H83" s="39"/>
      <c r="I83" s="39">
        <v>0.5</v>
      </c>
      <c r="J83" s="36">
        <f>IF(+I83+H83&gt;0,I83+(H83*labour),"")</f>
        <v>0.5</v>
      </c>
      <c r="K83" s="37" t="e">
        <f>+IF(F83="item",J83,IF(F83&lt;&gt;0,F83*J83,""))</f>
        <v>#REF!</v>
      </c>
      <c r="L83" s="31"/>
      <c r="M83" s="72"/>
      <c r="N83" s="73"/>
      <c r="O83" s="74"/>
      <c r="P83" s="75"/>
      <c r="Q83" s="76"/>
      <c r="S83" s="110" t="str">
        <f>+E83</f>
        <v>Grippers</v>
      </c>
      <c r="T83" s="114" t="e">
        <f>+K83</f>
        <v>#REF!</v>
      </c>
      <c r="U83" s="12"/>
      <c r="V83" s="12">
        <v>15</v>
      </c>
      <c r="W83" s="19" t="e">
        <f>ROUND(+IF(V83&gt;0,T83/V83,""),2)</f>
        <v>#REF!</v>
      </c>
      <c r="X83" s="111"/>
    </row>
    <row r="84" spans="1:24" ht="12.75" hidden="1" outlineLevel="1">
      <c r="A84" s="60"/>
      <c r="B84" s="61"/>
      <c r="C84" s="64"/>
      <c r="D84" s="63"/>
      <c r="E84" s="38"/>
      <c r="F84" s="33"/>
      <c r="G84" s="34"/>
      <c r="H84" s="39"/>
      <c r="I84" s="39"/>
      <c r="J84" s="36"/>
      <c r="K84" s="37"/>
      <c r="L84" s="31"/>
      <c r="M84" s="72"/>
      <c r="N84" s="73"/>
      <c r="O84" s="74"/>
      <c r="P84" s="75"/>
      <c r="Q84" s="76"/>
      <c r="S84" s="110"/>
      <c r="T84" s="114"/>
      <c r="U84" s="12"/>
      <c r="V84" s="12"/>
      <c r="W84" s="19"/>
      <c r="X84" s="111"/>
    </row>
    <row r="85" spans="1:24" ht="12.75" hidden="1" outlineLevel="1">
      <c r="A85" s="60"/>
      <c r="B85" s="61"/>
      <c r="C85" s="64"/>
      <c r="D85" s="63"/>
      <c r="E85" s="38"/>
      <c r="F85" s="33"/>
      <c r="G85" s="34"/>
      <c r="H85" s="39"/>
      <c r="I85" s="39"/>
      <c r="J85" s="36">
        <f>IF(+I85+H85&gt;0,I85+(H85*labour),"")</f>
      </c>
      <c r="K85" s="37">
        <f>+IF(F85="item",J85,IF(F85&lt;&gt;0,F85*J85,""))</f>
      </c>
      <c r="L85" s="31"/>
      <c r="M85" s="72"/>
      <c r="N85" s="73"/>
      <c r="O85" s="74"/>
      <c r="P85" s="75">
        <f>+IF(M85="item",O85,IF(M85&lt;&gt;0,M85*O85,""))</f>
      </c>
      <c r="Q85" s="76"/>
      <c r="S85" s="110"/>
      <c r="T85" s="12"/>
      <c r="U85" s="12"/>
      <c r="V85" s="12"/>
      <c r="W85" s="19"/>
      <c r="X85" s="111"/>
    </row>
    <row r="86" spans="1:24" ht="12.75" hidden="1" outlineLevel="1">
      <c r="A86" s="60"/>
      <c r="B86" s="61"/>
      <c r="C86" s="64"/>
      <c r="D86" s="63"/>
      <c r="E86" s="38" t="s">
        <v>61</v>
      </c>
      <c r="F86" s="33">
        <f>+F80</f>
        <v>0</v>
      </c>
      <c r="G86" s="34" t="s">
        <v>35</v>
      </c>
      <c r="H86" s="39">
        <v>0.08</v>
      </c>
      <c r="I86" s="39">
        <f>+underlay</f>
        <v>1.6679999999999997</v>
      </c>
      <c r="J86" s="36">
        <f>IF(+I86+H86&gt;0,I86+(H86*labour),"")</f>
        <v>4.068</v>
      </c>
      <c r="K86" s="37">
        <f>+IF(F86="item",J86,IF(F86&lt;&gt;0,F86*J86,""))</f>
      </c>
      <c r="L86" s="31"/>
      <c r="M86" s="72"/>
      <c r="N86" s="73"/>
      <c r="O86" s="74"/>
      <c r="P86" s="75">
        <f>+IF(M86="item",O86,IF(M86&lt;&gt;0,M86*O86,""))</f>
      </c>
      <c r="Q86" s="76"/>
      <c r="S86" s="110" t="str">
        <f>+E86</f>
        <v>Wool mix underlay</v>
      </c>
      <c r="T86" s="114">
        <f>+K86</f>
      </c>
      <c r="U86" s="12"/>
      <c r="V86" s="12">
        <v>15</v>
      </c>
      <c r="W86" s="19" t="e">
        <f>ROUND(+IF(V86&gt;0,T86/V86,""),2)</f>
        <v>#VALUE!</v>
      </c>
      <c r="X86" s="111"/>
    </row>
    <row r="87" spans="1:24" ht="12.75" hidden="1" outlineLevel="1">
      <c r="A87" s="60"/>
      <c r="B87" s="61"/>
      <c r="C87" s="64"/>
      <c r="D87" s="63"/>
      <c r="E87" s="38"/>
      <c r="F87" s="33"/>
      <c r="G87" s="34"/>
      <c r="H87" s="39"/>
      <c r="I87" s="39"/>
      <c r="J87" s="36"/>
      <c r="K87" s="37"/>
      <c r="L87" s="31"/>
      <c r="M87" s="72"/>
      <c r="N87" s="73"/>
      <c r="O87" s="74"/>
      <c r="P87" s="75"/>
      <c r="Q87" s="76"/>
      <c r="S87" s="110"/>
      <c r="T87" s="114"/>
      <c r="U87" s="12"/>
      <c r="V87" s="12"/>
      <c r="W87" s="19"/>
      <c r="X87" s="111"/>
    </row>
    <row r="88" spans="1:24" ht="12.75" hidden="1" outlineLevel="1">
      <c r="A88" s="60"/>
      <c r="B88" s="61"/>
      <c r="C88" s="64"/>
      <c r="D88" s="63"/>
      <c r="E88" s="38" t="s">
        <v>362</v>
      </c>
      <c r="F88" s="33">
        <v>10</v>
      </c>
      <c r="G88" s="34" t="s">
        <v>363</v>
      </c>
      <c r="H88" s="39"/>
      <c r="I88" s="39"/>
      <c r="J88" s="36" t="e">
        <f>SUM(K80:K86)</f>
        <v>#REF!</v>
      </c>
      <c r="K88" s="37" t="e">
        <f>+J88*F88%</f>
        <v>#REF!</v>
      </c>
      <c r="L88" s="31"/>
      <c r="M88" s="72"/>
      <c r="N88" s="73"/>
      <c r="O88" s="74"/>
      <c r="P88" s="75"/>
      <c r="Q88" s="76"/>
      <c r="S88" s="110"/>
      <c r="T88" s="114"/>
      <c r="U88" s="12"/>
      <c r="V88" s="12"/>
      <c r="W88" s="19"/>
      <c r="X88" s="111"/>
    </row>
    <row r="89" spans="1:24" ht="12.75" hidden="1" outlineLevel="1">
      <c r="A89" s="60"/>
      <c r="B89" s="61"/>
      <c r="C89" s="64"/>
      <c r="D89" s="63"/>
      <c r="E89" s="38"/>
      <c r="F89" s="33"/>
      <c r="G89" s="34"/>
      <c r="H89" s="39"/>
      <c r="I89" s="39"/>
      <c r="J89" s="36">
        <f aca="true" t="shared" si="8" ref="J89:J94">IF(+I89+H89&gt;0,I89+(H89*labour),"")</f>
      </c>
      <c r="K89" s="37">
        <f>+IF(F89="item",J89,IF(F89&lt;&gt;0,F89*J89,""))</f>
      </c>
      <c r="L89" s="31"/>
      <c r="M89" s="72"/>
      <c r="N89" s="73"/>
      <c r="O89" s="74"/>
      <c r="P89" s="75">
        <f>+IF(M89="item",O89,IF(M89&lt;&gt;0,M89*O89,""))</f>
      </c>
      <c r="Q89" s="76"/>
      <c r="S89" s="110"/>
      <c r="T89" s="12"/>
      <c r="U89" s="12"/>
      <c r="V89" s="12"/>
      <c r="W89" s="19"/>
      <c r="X89" s="111"/>
    </row>
    <row r="90" spans="1:24" ht="12.75" collapsed="1">
      <c r="A90" s="60"/>
      <c r="B90" s="61"/>
      <c r="C90" s="64"/>
      <c r="D90" s="63"/>
      <c r="E90" s="38"/>
      <c r="F90" s="33"/>
      <c r="G90" s="34"/>
      <c r="H90" s="39"/>
      <c r="I90" s="39"/>
      <c r="J90" s="36">
        <f t="shared" si="8"/>
      </c>
      <c r="K90" s="37">
        <f>+IF(F90="item",J90,IF(F90&lt;&gt;0,F90*J90,""))</f>
      </c>
      <c r="L90" s="31"/>
      <c r="M90" s="33"/>
      <c r="N90" s="34"/>
      <c r="O90" s="36"/>
      <c r="P90" s="37">
        <f>+IF(M90="item",O90,IF(M90&lt;&gt;0,M90*O90,""))</f>
      </c>
      <c r="Q90" s="54"/>
      <c r="S90" s="110"/>
      <c r="T90" s="12"/>
      <c r="U90" s="12"/>
      <c r="V90" s="12"/>
      <c r="W90" s="19"/>
      <c r="X90" s="111"/>
    </row>
    <row r="91" spans="1:24" ht="12.75">
      <c r="A91" s="60"/>
      <c r="B91" s="61"/>
      <c r="C91" s="64"/>
      <c r="D91" s="63"/>
      <c r="E91" s="32" t="s">
        <v>90</v>
      </c>
      <c r="F91" s="33"/>
      <c r="G91" s="34"/>
      <c r="H91" s="39"/>
      <c r="I91" s="39"/>
      <c r="J91" s="36">
        <f t="shared" si="8"/>
      </c>
      <c r="K91" s="53">
        <f>SUM(K92:K96)</f>
        <v>1012</v>
      </c>
      <c r="L91" s="31" t="s">
        <v>66</v>
      </c>
      <c r="M91" s="33"/>
      <c r="N91" s="34"/>
      <c r="O91" s="36"/>
      <c r="P91" s="53">
        <f>SUM(P92:P94)</f>
        <v>560</v>
      </c>
      <c r="Q91" s="54" t="s">
        <v>66</v>
      </c>
      <c r="S91" s="110" t="s">
        <v>261</v>
      </c>
      <c r="T91" s="114">
        <f>+K91</f>
        <v>1012</v>
      </c>
      <c r="U91" s="12"/>
      <c r="V91" s="12">
        <v>15</v>
      </c>
      <c r="W91" s="112">
        <f>ROUND(+IF(V91&gt;0,T91/V91,""),2)</f>
        <v>67.47</v>
      </c>
      <c r="X91" s="111"/>
    </row>
    <row r="92" spans="1:24" ht="51" hidden="1" outlineLevel="1">
      <c r="A92" s="60"/>
      <c r="B92" s="61"/>
      <c r="C92" s="64"/>
      <c r="D92" s="63"/>
      <c r="E92" s="38"/>
      <c r="F92" s="33"/>
      <c r="G92" s="34"/>
      <c r="H92" s="39"/>
      <c r="I92" s="39"/>
      <c r="J92" s="36">
        <f t="shared" si="8"/>
      </c>
      <c r="K92" s="37">
        <f>+IF(F92="item",J92,IF(F92&lt;&gt;0,F92*J92,""))</f>
      </c>
      <c r="L92" s="69" t="s">
        <v>65</v>
      </c>
      <c r="M92" s="33"/>
      <c r="N92" s="34"/>
      <c r="O92" s="36"/>
      <c r="P92" s="37">
        <f>+IF(M92="item",O92,IF(M92&lt;&gt;0,M92*O92,""))</f>
      </c>
      <c r="Q92" s="54"/>
      <c r="S92" s="110"/>
      <c r="T92" s="12"/>
      <c r="U92" s="12"/>
      <c r="V92" s="12"/>
      <c r="W92" s="19"/>
      <c r="X92" s="111"/>
    </row>
    <row r="93" spans="1:24" ht="12.75" hidden="1" outlineLevel="1">
      <c r="A93" s="60"/>
      <c r="B93" s="61"/>
      <c r="C93" s="64"/>
      <c r="D93" s="63"/>
      <c r="E93" s="38"/>
      <c r="F93" s="33">
        <f>+F73</f>
        <v>16</v>
      </c>
      <c r="G93" s="34" t="s">
        <v>8</v>
      </c>
      <c r="H93" s="39">
        <v>0.75</v>
      </c>
      <c r="I93" s="39">
        <v>35</v>
      </c>
      <c r="J93" s="36">
        <f t="shared" si="8"/>
        <v>57.5</v>
      </c>
      <c r="K93" s="37">
        <f>+IF(F93="item",J93,IF(F93&lt;&gt;0,F93*J93,""))</f>
        <v>920</v>
      </c>
      <c r="L93" s="91" t="s">
        <v>67</v>
      </c>
      <c r="M93" s="33">
        <f>+F93</f>
        <v>16</v>
      </c>
      <c r="N93" s="34" t="s">
        <v>8</v>
      </c>
      <c r="O93" s="36">
        <f>+I93</f>
        <v>35</v>
      </c>
      <c r="P93" s="37">
        <f>+IF(M93="item",O93,IF(M93&lt;&gt;0,M93*O93,""))</f>
        <v>560</v>
      </c>
      <c r="Q93" s="54"/>
      <c r="S93" s="110"/>
      <c r="T93" s="12"/>
      <c r="U93" s="12"/>
      <c r="V93" s="12"/>
      <c r="W93" s="19"/>
      <c r="X93" s="111"/>
    </row>
    <row r="94" spans="1:24" ht="12.75" hidden="1" outlineLevel="1">
      <c r="A94" s="60"/>
      <c r="B94" s="61"/>
      <c r="C94" s="64"/>
      <c r="D94" s="63"/>
      <c r="E94" s="40"/>
      <c r="F94" s="33"/>
      <c r="G94" s="34"/>
      <c r="H94" s="39"/>
      <c r="I94" s="39"/>
      <c r="J94" s="36">
        <f t="shared" si="8"/>
      </c>
      <c r="K94" s="37">
        <f>+IF(F94="item",J94,IF(F94&lt;&gt;0,F94*J94,""))</f>
      </c>
      <c r="L94" s="31"/>
      <c r="M94" s="33"/>
      <c r="N94" s="34"/>
      <c r="O94" s="36"/>
      <c r="P94" s="37">
        <f>+IF(M94="item",O94,IF(M94&lt;&gt;0,M94*O94,""))</f>
      </c>
      <c r="Q94" s="54"/>
      <c r="S94" s="110"/>
      <c r="T94" s="12"/>
      <c r="U94" s="12"/>
      <c r="V94" s="12"/>
      <c r="W94" s="19"/>
      <c r="X94" s="111"/>
    </row>
    <row r="95" spans="1:24" ht="12.75" hidden="1" outlineLevel="1">
      <c r="A95" s="60"/>
      <c r="B95" s="61"/>
      <c r="C95" s="64"/>
      <c r="D95" s="63"/>
      <c r="E95" s="38" t="s">
        <v>362</v>
      </c>
      <c r="F95" s="33">
        <v>10</v>
      </c>
      <c r="G95" s="34" t="s">
        <v>363</v>
      </c>
      <c r="H95" s="39"/>
      <c r="I95" s="39"/>
      <c r="J95" s="36">
        <f>SUM(K92:K94)</f>
        <v>920</v>
      </c>
      <c r="K95" s="37">
        <f>+J95*F95%</f>
        <v>92</v>
      </c>
      <c r="L95" s="31"/>
      <c r="M95" s="33"/>
      <c r="N95" s="34"/>
      <c r="O95" s="36"/>
      <c r="P95" s="37"/>
      <c r="Q95" s="54"/>
      <c r="S95" s="110"/>
      <c r="T95" s="12"/>
      <c r="U95" s="12"/>
      <c r="V95" s="12"/>
      <c r="W95" s="19"/>
      <c r="X95" s="111"/>
    </row>
    <row r="96" spans="1:24" ht="12.75" hidden="1" outlineLevel="1">
      <c r="A96" s="60"/>
      <c r="B96" s="61"/>
      <c r="C96" s="64"/>
      <c r="D96" s="63"/>
      <c r="E96" s="40"/>
      <c r="F96" s="33"/>
      <c r="G96" s="34"/>
      <c r="H96" s="39"/>
      <c r="I96" s="39"/>
      <c r="J96" s="36"/>
      <c r="K96" s="37"/>
      <c r="L96" s="31"/>
      <c r="M96" s="33"/>
      <c r="N96" s="34"/>
      <c r="O96" s="36"/>
      <c r="P96" s="37"/>
      <c r="Q96" s="54"/>
      <c r="S96" s="110"/>
      <c r="T96" s="12"/>
      <c r="U96" s="12"/>
      <c r="V96" s="12"/>
      <c r="W96" s="19"/>
      <c r="X96" s="111"/>
    </row>
    <row r="97" spans="1:24" ht="12.75" collapsed="1">
      <c r="A97" s="60"/>
      <c r="B97" s="61"/>
      <c r="C97" s="64"/>
      <c r="D97" s="63"/>
      <c r="E97" s="41"/>
      <c r="F97" s="33"/>
      <c r="G97" s="34"/>
      <c r="H97" s="39"/>
      <c r="I97" s="39"/>
      <c r="J97" s="36">
        <f>IF(+I97+H97&gt;0,I97+(H97*labour),"")</f>
      </c>
      <c r="K97" s="37">
        <f>+IF(F97="item",J97,IF(F97&lt;&gt;0,F97*J97,""))</f>
      </c>
      <c r="L97" s="31"/>
      <c r="M97" s="33"/>
      <c r="N97" s="34"/>
      <c r="O97" s="36"/>
      <c r="P97" s="37">
        <f>+IF(M97="item",O97,IF(M97&lt;&gt;0,M97*O97,""))</f>
      </c>
      <c r="Q97" s="54"/>
      <c r="S97" s="110"/>
      <c r="T97" s="12"/>
      <c r="U97" s="12"/>
      <c r="V97" s="12"/>
      <c r="W97" s="19"/>
      <c r="X97" s="111"/>
    </row>
    <row r="98" spans="1:24" ht="12.75">
      <c r="A98" s="60"/>
      <c r="B98" s="61"/>
      <c r="C98" s="64"/>
      <c r="D98" s="63"/>
      <c r="E98" s="38"/>
      <c r="F98" s="33"/>
      <c r="G98" s="34"/>
      <c r="H98" s="39"/>
      <c r="I98" s="39"/>
      <c r="J98" s="36">
        <f>IF(+I98+H98&gt;0,I98+(H98*labour),"")</f>
      </c>
      <c r="K98" s="37">
        <f>+IF(F98="item",J98,IF(F98&lt;&gt;0,F98*J98,""))</f>
      </c>
      <c r="L98" s="31"/>
      <c r="M98" s="33"/>
      <c r="N98" s="34"/>
      <c r="O98" s="36"/>
      <c r="P98" s="37">
        <f>+IF(M98="item",O98,IF(M98&lt;&gt;0,M98*O98,""))</f>
      </c>
      <c r="Q98" s="54"/>
      <c r="S98" s="110"/>
      <c r="T98" s="12"/>
      <c r="U98" s="12"/>
      <c r="V98" s="12"/>
      <c r="W98" s="19"/>
      <c r="X98" s="111"/>
    </row>
    <row r="99" spans="1:24" ht="12.75">
      <c r="A99" s="60"/>
      <c r="B99" s="61"/>
      <c r="C99" s="64"/>
      <c r="D99" s="63"/>
      <c r="E99" s="32" t="s">
        <v>91</v>
      </c>
      <c r="F99" s="33"/>
      <c r="G99" s="34"/>
      <c r="H99" s="39"/>
      <c r="I99" s="39"/>
      <c r="J99" s="36">
        <f>IF(+I99+H99&gt;0,I99+(H99*labour),"")</f>
      </c>
      <c r="K99" s="53">
        <f>SUM(K100:K102)</f>
        <v>9716</v>
      </c>
      <c r="L99" s="31"/>
      <c r="M99" s="72"/>
      <c r="N99" s="73"/>
      <c r="O99" s="74"/>
      <c r="P99" s="75">
        <f>+IF(M99="item",O99,IF(M99&lt;&gt;0,M99*O99,""))</f>
      </c>
      <c r="Q99" s="76"/>
      <c r="S99" s="110"/>
      <c r="T99" s="12"/>
      <c r="U99" s="12"/>
      <c r="V99" s="12"/>
      <c r="W99" s="112">
        <f>SUM(W100:W101)</f>
        <v>323.87</v>
      </c>
      <c r="X99" s="111"/>
    </row>
    <row r="100" spans="1:24" ht="12.75" hidden="1" outlineLevel="1">
      <c r="A100" s="60"/>
      <c r="B100" s="61"/>
      <c r="C100" s="64"/>
      <c r="D100" s="63"/>
      <c r="E100" s="38"/>
      <c r="F100" s="33"/>
      <c r="G100" s="34"/>
      <c r="H100" s="39"/>
      <c r="I100" s="39"/>
      <c r="J100" s="36">
        <f>IF(+I100+H100&gt;0,I100+(H100*labour),"")</f>
      </c>
      <c r="K100" s="37">
        <f>+IF(F100="item",J100,IF(F100&lt;&gt;0,F100*J100,""))</f>
      </c>
      <c r="L100" s="31"/>
      <c r="M100" s="72"/>
      <c r="N100" s="73"/>
      <c r="O100" s="74"/>
      <c r="P100" s="75">
        <f>+IF(M100="item",O100,IF(M100&lt;&gt;0,M100*O100,""))</f>
      </c>
      <c r="Q100" s="76"/>
      <c r="S100" s="110"/>
      <c r="T100" s="12"/>
      <c r="U100" s="12"/>
      <c r="V100" s="12"/>
      <c r="W100" s="19"/>
      <c r="X100" s="111"/>
    </row>
    <row r="101" spans="1:24" ht="12.75" hidden="1" outlineLevel="1">
      <c r="A101" s="60"/>
      <c r="B101" s="61"/>
      <c r="C101" s="64"/>
      <c r="D101" s="63"/>
      <c r="E101" s="38" t="s">
        <v>68</v>
      </c>
      <c r="F101" s="45" t="s">
        <v>1</v>
      </c>
      <c r="G101" s="42"/>
      <c r="H101" s="43"/>
      <c r="I101" s="43"/>
      <c r="J101" s="147">
        <f>(12145*1.2)/18*12</f>
        <v>9716</v>
      </c>
      <c r="K101" s="148">
        <f>+IF(F101="item",J101,IF(F101&lt;&gt;0,F101*J101,""))</f>
        <v>9716</v>
      </c>
      <c r="L101" s="31" t="s">
        <v>346</v>
      </c>
      <c r="M101" s="72"/>
      <c r="N101" s="73"/>
      <c r="O101" s="74"/>
      <c r="P101" s="75">
        <f>+IF(M101="item",O101,IF(M101&lt;&gt;0,M101*O101,""))</f>
      </c>
      <c r="Q101" s="76"/>
      <c r="S101" s="110" t="str">
        <f>+E101</f>
        <v>Storm windows</v>
      </c>
      <c r="T101" s="114">
        <f>+K101</f>
        <v>9716</v>
      </c>
      <c r="U101" s="12"/>
      <c r="V101" s="12">
        <v>30</v>
      </c>
      <c r="W101" s="19">
        <f>ROUND(+IF(V101&gt;0,T101/V101,""),2)</f>
        <v>323.87</v>
      </c>
      <c r="X101" s="111"/>
    </row>
    <row r="102" spans="1:24" ht="12.75" hidden="1" outlineLevel="1">
      <c r="A102" s="60"/>
      <c r="B102" s="61"/>
      <c r="C102" s="64"/>
      <c r="D102" s="63"/>
      <c r="E102" s="38"/>
      <c r="F102" s="45"/>
      <c r="G102" s="42"/>
      <c r="H102" s="43"/>
      <c r="I102" s="43"/>
      <c r="J102" s="147"/>
      <c r="K102" s="148"/>
      <c r="L102" s="31"/>
      <c r="M102" s="72"/>
      <c r="N102" s="73"/>
      <c r="O102" s="74"/>
      <c r="P102" s="75"/>
      <c r="Q102" s="76"/>
      <c r="S102" s="110"/>
      <c r="T102" s="114"/>
      <c r="U102" s="12"/>
      <c r="V102" s="12"/>
      <c r="W102" s="19"/>
      <c r="X102" s="111"/>
    </row>
    <row r="103" spans="1:24" ht="12.75" collapsed="1">
      <c r="A103" s="60"/>
      <c r="B103" s="61"/>
      <c r="C103" s="64"/>
      <c r="D103" s="63"/>
      <c r="E103" s="38"/>
      <c r="F103" s="33"/>
      <c r="G103" s="34"/>
      <c r="H103" s="39"/>
      <c r="I103" s="39"/>
      <c r="J103" s="36">
        <f>IF(+I103+H103&gt;0,I103+(H103*labour),"")</f>
      </c>
      <c r="K103" s="37">
        <f>+IF(F103="item",J103,IF(F103&lt;&gt;0,F103*J103,""))</f>
      </c>
      <c r="L103" s="31"/>
      <c r="M103" s="33"/>
      <c r="N103" s="34"/>
      <c r="O103" s="36"/>
      <c r="P103" s="37">
        <f>+IF(M103="item",O103,IF(M103&lt;&gt;0,M103*O103,""))</f>
      </c>
      <c r="Q103" s="54"/>
      <c r="S103" s="110"/>
      <c r="T103" s="12"/>
      <c r="U103" s="12"/>
      <c r="V103" s="12"/>
      <c r="W103" s="19"/>
      <c r="X103" s="111"/>
    </row>
    <row r="104" spans="1:24" ht="15.75">
      <c r="A104" s="60"/>
      <c r="B104" s="61"/>
      <c r="C104" s="64"/>
      <c r="D104" s="63"/>
      <c r="E104" s="78" t="s">
        <v>92</v>
      </c>
      <c r="F104" s="79"/>
      <c r="G104" s="80"/>
      <c r="H104" s="81"/>
      <c r="I104" s="81"/>
      <c r="J104" s="82"/>
      <c r="K104" s="83"/>
      <c r="L104" s="84"/>
      <c r="M104" s="79"/>
      <c r="N104" s="80"/>
      <c r="O104" s="82"/>
      <c r="P104" s="83"/>
      <c r="Q104" s="85"/>
      <c r="S104" s="110"/>
      <c r="T104" s="12"/>
      <c r="U104" s="12"/>
      <c r="V104" s="12"/>
      <c r="W104" s="19"/>
      <c r="X104" s="111"/>
    </row>
    <row r="105" spans="1:24" ht="12.75">
      <c r="A105" s="60"/>
      <c r="B105" s="61"/>
      <c r="C105" s="64"/>
      <c r="D105" s="63"/>
      <c r="E105" s="38"/>
      <c r="F105" s="33"/>
      <c r="G105" s="34"/>
      <c r="H105" s="39"/>
      <c r="I105" s="39"/>
      <c r="J105" s="36"/>
      <c r="K105" s="37"/>
      <c r="L105" s="31"/>
      <c r="M105" s="33"/>
      <c r="N105" s="34"/>
      <c r="O105" s="36"/>
      <c r="P105" s="37"/>
      <c r="Q105" s="54"/>
      <c r="S105" s="110"/>
      <c r="T105" s="12"/>
      <c r="U105" s="12"/>
      <c r="V105" s="12"/>
      <c r="W105" s="19"/>
      <c r="X105" s="111"/>
    </row>
    <row r="106" spans="1:24" ht="63.75">
      <c r="A106" s="60"/>
      <c r="B106" s="61"/>
      <c r="C106" s="64"/>
      <c r="D106" s="63"/>
      <c r="E106" s="32" t="s">
        <v>93</v>
      </c>
      <c r="F106" s="33"/>
      <c r="G106" s="34"/>
      <c r="H106" s="39"/>
      <c r="I106" s="39"/>
      <c r="J106" s="36">
        <f>IF(+I106+H106&gt;0,I106+(H106*labour),"")</f>
      </c>
      <c r="K106" s="37"/>
      <c r="L106" s="31" t="s">
        <v>94</v>
      </c>
      <c r="M106" s="33"/>
      <c r="N106" s="34"/>
      <c r="O106" s="36"/>
      <c r="P106" s="37">
        <f>+IF(M106="item",O106,IF(M106&lt;&gt;0,M106*O106,""))</f>
      </c>
      <c r="Q106" s="54"/>
      <c r="S106" s="110"/>
      <c r="T106" s="12"/>
      <c r="U106" s="12"/>
      <c r="V106" s="12"/>
      <c r="W106" s="115">
        <v>0</v>
      </c>
      <c r="X106" s="111"/>
    </row>
    <row r="107" spans="1:24" ht="12.75">
      <c r="A107" s="60"/>
      <c r="B107" s="61"/>
      <c r="C107" s="64"/>
      <c r="D107" s="63"/>
      <c r="E107" s="32"/>
      <c r="F107" s="33"/>
      <c r="G107" s="34"/>
      <c r="H107" s="39"/>
      <c r="I107" s="39"/>
      <c r="J107" s="36"/>
      <c r="K107" s="37"/>
      <c r="L107" s="31"/>
      <c r="M107" s="33"/>
      <c r="N107" s="34"/>
      <c r="O107" s="36"/>
      <c r="P107" s="37"/>
      <c r="Q107" s="54"/>
      <c r="S107" s="110"/>
      <c r="T107" s="12"/>
      <c r="U107" s="12"/>
      <c r="V107" s="12"/>
      <c r="W107" s="19"/>
      <c r="X107" s="111"/>
    </row>
    <row r="108" spans="1:24" ht="12.75">
      <c r="A108" s="60"/>
      <c r="B108" s="61"/>
      <c r="C108" s="64"/>
      <c r="D108" s="63"/>
      <c r="E108" s="38"/>
      <c r="F108" s="33"/>
      <c r="G108" s="42"/>
      <c r="H108" s="43"/>
      <c r="I108" s="43"/>
      <c r="J108" s="36">
        <f>IF(+I108+H108&gt;0,I108+(H108*labour),"")</f>
      </c>
      <c r="K108" s="37">
        <f>+IF(F108="item",J108,IF(F108&lt;&gt;0,F108*J108,""))</f>
      </c>
      <c r="L108" s="31"/>
      <c r="M108" s="33"/>
      <c r="N108" s="42"/>
      <c r="O108" s="36"/>
      <c r="P108" s="37">
        <f>+IF(M108="item",O108,IF(M108&lt;&gt;0,M108*O108,""))</f>
      </c>
      <c r="Q108" s="54"/>
      <c r="S108" s="110"/>
      <c r="T108" s="12"/>
      <c r="U108" s="12"/>
      <c r="V108" s="12"/>
      <c r="W108" s="19"/>
      <c r="X108" s="111"/>
    </row>
    <row r="109" spans="1:24" ht="38.25">
      <c r="A109" s="60"/>
      <c r="B109" s="61"/>
      <c r="C109" s="64"/>
      <c r="D109" s="65"/>
      <c r="E109" s="139" t="s">
        <v>95</v>
      </c>
      <c r="F109" s="72"/>
      <c r="G109" s="73"/>
      <c r="H109" s="140"/>
      <c r="I109" s="140"/>
      <c r="J109" s="74">
        <f>IF(+I109+H109&gt;0,I109+(H109*labour),"")</f>
      </c>
      <c r="K109" s="165"/>
      <c r="L109" s="141" t="s">
        <v>402</v>
      </c>
      <c r="M109" s="72"/>
      <c r="N109" s="73"/>
      <c r="O109" s="74"/>
      <c r="P109" s="165"/>
      <c r="Q109" s="76"/>
      <c r="S109" s="110"/>
      <c r="T109" s="12"/>
      <c r="U109" s="12"/>
      <c r="V109" s="12"/>
      <c r="W109" s="112" t="e">
        <f>SUM(W110:W126)</f>
        <v>#VALUE!</v>
      </c>
      <c r="X109" s="111"/>
    </row>
    <row r="110" spans="1:24" ht="12.75" hidden="1" outlineLevel="1">
      <c r="A110" s="60"/>
      <c r="B110" s="61"/>
      <c r="C110" s="64"/>
      <c r="D110" s="63"/>
      <c r="E110" s="44"/>
      <c r="F110" s="33"/>
      <c r="G110" s="42"/>
      <c r="H110" s="43"/>
      <c r="I110" s="43"/>
      <c r="J110" s="36">
        <f>IF(+I110+H110&gt;0,I110+(H110*labour),"")</f>
      </c>
      <c r="K110" s="37">
        <f>+IF(F110="item",J110,IF(F110&lt;&gt;0,F110*J110,""))</f>
      </c>
      <c r="L110" s="31"/>
      <c r="M110" s="33"/>
      <c r="N110" s="42"/>
      <c r="O110" s="36"/>
      <c r="P110" s="37">
        <f>+IF(M110="item",O110,IF(M110&lt;&gt;0,M110*O110,""))</f>
      </c>
      <c r="Q110" s="54"/>
      <c r="S110" s="110"/>
      <c r="T110" s="12"/>
      <c r="U110" s="12"/>
      <c r="V110" s="12"/>
      <c r="W110" s="19"/>
      <c r="X110" s="111"/>
    </row>
    <row r="111" spans="1:24" ht="12.75" hidden="1" outlineLevel="1">
      <c r="A111" s="60"/>
      <c r="B111" s="61"/>
      <c r="C111" s="64"/>
      <c r="D111" s="63"/>
      <c r="E111" s="44" t="s">
        <v>71</v>
      </c>
      <c r="F111" s="45">
        <f>+F86</f>
        <v>0</v>
      </c>
      <c r="G111" s="42" t="s">
        <v>35</v>
      </c>
      <c r="H111" s="43"/>
      <c r="I111" s="43"/>
      <c r="J111" s="36">
        <f>8*1.2</f>
        <v>9.6</v>
      </c>
      <c r="K111" s="37">
        <f>+IF(F111="item",J111,IF(F111&lt;&gt;0,F111*J111,""))</f>
      </c>
      <c r="L111" s="31"/>
      <c r="M111" s="45">
        <f>+F111</f>
        <v>0</v>
      </c>
      <c r="N111" s="42" t="s">
        <v>35</v>
      </c>
      <c r="O111" s="36"/>
      <c r="P111" s="37">
        <f>+IF(M111="item",O111,IF(M111&lt;&gt;0,M111*O111,""))</f>
      </c>
      <c r="Q111" s="54"/>
      <c r="S111" s="110" t="str">
        <f>+E111</f>
        <v>Remove floorboards and set aside</v>
      </c>
      <c r="T111" s="114">
        <f>+K111</f>
      </c>
      <c r="U111" s="12"/>
      <c r="V111" s="12">
        <v>25</v>
      </c>
      <c r="W111" s="19" t="e">
        <f>ROUND(+IF(V111&gt;0,T111/V111,""),2)</f>
        <v>#VALUE!</v>
      </c>
      <c r="X111" s="111"/>
    </row>
    <row r="112" spans="1:24" ht="12.75" hidden="1" outlineLevel="1">
      <c r="A112" s="60"/>
      <c r="B112" s="61"/>
      <c r="C112" s="64"/>
      <c r="D112" s="63"/>
      <c r="E112" s="44"/>
      <c r="F112" s="45"/>
      <c r="G112" s="42"/>
      <c r="H112" s="43"/>
      <c r="I112" s="43"/>
      <c r="J112" s="36"/>
      <c r="K112" s="37"/>
      <c r="L112" s="31"/>
      <c r="M112" s="45"/>
      <c r="N112" s="42"/>
      <c r="O112" s="36"/>
      <c r="P112" s="37"/>
      <c r="Q112" s="54"/>
      <c r="S112" s="110"/>
      <c r="T112" s="12"/>
      <c r="U112" s="12"/>
      <c r="V112" s="12"/>
      <c r="W112" s="19"/>
      <c r="X112" s="111"/>
    </row>
    <row r="113" spans="1:24" ht="12.75" hidden="1" outlineLevel="1">
      <c r="A113" s="60"/>
      <c r="B113" s="61"/>
      <c r="C113" s="64"/>
      <c r="D113" s="63"/>
      <c r="E113" s="38" t="s">
        <v>72</v>
      </c>
      <c r="F113" s="45">
        <f>ROUND(+F111*1.2,0)</f>
        <v>0</v>
      </c>
      <c r="G113" s="42" t="s">
        <v>35</v>
      </c>
      <c r="H113" s="43">
        <v>0.1</v>
      </c>
      <c r="I113" s="43">
        <f>netlon</f>
        <v>0.4648000000000001</v>
      </c>
      <c r="J113" s="36">
        <f aca="true" t="shared" si="9" ref="J113:J120">IF(+I113+H113&gt;0,I113+(H113*labour),"")</f>
        <v>3.4648000000000003</v>
      </c>
      <c r="K113" s="37">
        <f aca="true" t="shared" si="10" ref="K113:K123">+IF(F113="item",J113,IF(F113&lt;&gt;0,F113*J113,""))</f>
      </c>
      <c r="L113" s="31"/>
      <c r="M113" s="45">
        <f>+F113</f>
        <v>0</v>
      </c>
      <c r="N113" s="42" t="s">
        <v>35</v>
      </c>
      <c r="O113" s="36">
        <f>+I113</f>
        <v>0.4648000000000001</v>
      </c>
      <c r="P113" s="37">
        <f aca="true" t="shared" si="11" ref="P113:P123">+IF(M113="item",O113,IF(M113&lt;&gt;0,M113*O113,""))</f>
      </c>
      <c r="Q113" s="54"/>
      <c r="S113" s="110" t="str">
        <f>+E113</f>
        <v>Netlon netting trays</v>
      </c>
      <c r="T113" s="114">
        <f>+K113</f>
      </c>
      <c r="U113" s="12"/>
      <c r="V113" s="12">
        <v>25</v>
      </c>
      <c r="W113" s="19" t="e">
        <f>ROUND(+IF(V113&gt;0,T113/V113,""),2)</f>
        <v>#VALUE!</v>
      </c>
      <c r="X113" s="111"/>
    </row>
    <row r="114" spans="1:24" ht="12.75" hidden="1" outlineLevel="1">
      <c r="A114" s="60"/>
      <c r="B114" s="61"/>
      <c r="C114" s="64"/>
      <c r="D114" s="63"/>
      <c r="F114" s="45"/>
      <c r="G114" s="42"/>
      <c r="H114" s="43"/>
      <c r="I114" s="43"/>
      <c r="J114" s="36">
        <f t="shared" si="9"/>
      </c>
      <c r="K114" s="37">
        <f t="shared" si="10"/>
      </c>
      <c r="L114" s="31"/>
      <c r="M114" s="45"/>
      <c r="N114" s="42"/>
      <c r="O114" s="36"/>
      <c r="P114" s="37">
        <f t="shared" si="11"/>
      </c>
      <c r="Q114" s="54"/>
      <c r="S114" s="110"/>
      <c r="T114" s="12"/>
      <c r="U114" s="12"/>
      <c r="V114" s="12"/>
      <c r="W114" s="19"/>
      <c r="X114" s="111"/>
    </row>
    <row r="115" spans="1:24" ht="12.75" hidden="1" outlineLevel="1">
      <c r="A115" s="60"/>
      <c r="B115" s="61"/>
      <c r="C115" s="64"/>
      <c r="D115" s="63"/>
      <c r="E115" s="38" t="s">
        <v>76</v>
      </c>
      <c r="F115" s="45">
        <f>+F111</f>
        <v>0</v>
      </c>
      <c r="G115" s="42" t="s">
        <v>35</v>
      </c>
      <c r="H115" s="43">
        <v>0.13</v>
      </c>
      <c r="I115" s="43">
        <f>sheep</f>
        <v>11.300250000000002</v>
      </c>
      <c r="J115" s="36">
        <f t="shared" si="9"/>
        <v>15.200250000000002</v>
      </c>
      <c r="K115" s="37">
        <f t="shared" si="10"/>
      </c>
      <c r="L115" s="31"/>
      <c r="M115" s="45">
        <f>+F115</f>
        <v>0</v>
      </c>
      <c r="N115" s="42" t="s">
        <v>35</v>
      </c>
      <c r="O115" s="36">
        <f>+I115</f>
        <v>11.300250000000002</v>
      </c>
      <c r="P115" s="37">
        <f t="shared" si="11"/>
      </c>
      <c r="Q115" s="54"/>
      <c r="S115" s="110" t="str">
        <f>+E115</f>
        <v>Sheepswool 100mm thick</v>
      </c>
      <c r="T115" s="114">
        <f>+K115</f>
      </c>
      <c r="U115" s="12"/>
      <c r="V115" s="12">
        <v>25</v>
      </c>
      <c r="W115" s="19" t="e">
        <f>ROUND(+IF(V115&gt;0,T115/V115,""),2)</f>
        <v>#VALUE!</v>
      </c>
      <c r="X115" s="111"/>
    </row>
    <row r="116" spans="1:24" ht="12.75" hidden="1" outlineLevel="1">
      <c r="A116" s="60"/>
      <c r="B116" s="61"/>
      <c r="C116" s="64"/>
      <c r="D116" s="63"/>
      <c r="E116" s="38"/>
      <c r="F116" s="45"/>
      <c r="G116" s="42"/>
      <c r="H116" s="43"/>
      <c r="I116" s="43"/>
      <c r="J116" s="36">
        <f t="shared" si="9"/>
      </c>
      <c r="K116" s="37">
        <f t="shared" si="10"/>
      </c>
      <c r="L116" s="31"/>
      <c r="M116" s="45"/>
      <c r="N116" s="42"/>
      <c r="O116" s="36"/>
      <c r="P116" s="37">
        <f t="shared" si="11"/>
      </c>
      <c r="Q116" s="54"/>
      <c r="S116" s="110"/>
      <c r="T116" s="12"/>
      <c r="U116" s="12"/>
      <c r="V116" s="12"/>
      <c r="W116" s="19"/>
      <c r="X116" s="111"/>
    </row>
    <row r="117" spans="1:24" ht="12.75" hidden="1" outlineLevel="1">
      <c r="A117" s="60"/>
      <c r="B117" s="61"/>
      <c r="C117" s="64"/>
      <c r="D117" s="63"/>
      <c r="E117" s="38" t="s">
        <v>79</v>
      </c>
      <c r="F117" s="45">
        <f>+F111</f>
        <v>0</v>
      </c>
      <c r="G117" s="42" t="s">
        <v>35</v>
      </c>
      <c r="H117" s="43">
        <v>0.74</v>
      </c>
      <c r="I117" s="43"/>
      <c r="J117" s="36">
        <f t="shared" si="9"/>
        <v>22.2</v>
      </c>
      <c r="K117" s="37">
        <f t="shared" si="10"/>
      </c>
      <c r="L117" s="31"/>
      <c r="M117" s="45">
        <f>+F117</f>
        <v>0</v>
      </c>
      <c r="N117" s="42" t="s">
        <v>35</v>
      </c>
      <c r="O117" s="36"/>
      <c r="P117" s="37">
        <f t="shared" si="11"/>
      </c>
      <c r="Q117" s="54"/>
      <c r="S117" s="110" t="str">
        <f>+E117</f>
        <v>Refix boards</v>
      </c>
      <c r="T117" s="114">
        <f>+K117</f>
      </c>
      <c r="U117" s="12"/>
      <c r="V117" s="12">
        <v>25</v>
      </c>
      <c r="W117" s="19" t="e">
        <f>ROUND(+IF(V117&gt;0,T117/V117,""),2)</f>
        <v>#VALUE!</v>
      </c>
      <c r="X117" s="111"/>
    </row>
    <row r="118" spans="1:24" ht="12.75" hidden="1" outlineLevel="1">
      <c r="A118" s="60"/>
      <c r="B118" s="61"/>
      <c r="C118" s="64"/>
      <c r="D118" s="63"/>
      <c r="E118" s="38"/>
      <c r="F118" s="45"/>
      <c r="G118" s="42"/>
      <c r="H118" s="43"/>
      <c r="I118" s="43"/>
      <c r="J118" s="36">
        <f t="shared" si="9"/>
      </c>
      <c r="K118" s="37">
        <f t="shared" si="10"/>
      </c>
      <c r="L118" s="31"/>
      <c r="M118" s="45"/>
      <c r="N118" s="42"/>
      <c r="O118" s="36"/>
      <c r="P118" s="37">
        <f t="shared" si="11"/>
      </c>
      <c r="Q118" s="54"/>
      <c r="S118" s="110"/>
      <c r="T118" s="12"/>
      <c r="U118" s="12"/>
      <c r="V118" s="12"/>
      <c r="W118" s="19"/>
      <c r="X118" s="111"/>
    </row>
    <row r="119" spans="1:24" ht="24.75" customHeight="1" hidden="1" outlineLevel="1">
      <c r="A119" s="60"/>
      <c r="B119" s="61"/>
      <c r="C119" s="64"/>
      <c r="D119" s="63"/>
      <c r="E119" s="38" t="s">
        <v>80</v>
      </c>
      <c r="F119" s="45">
        <f>+F117*0.2</f>
        <v>0</v>
      </c>
      <c r="G119" s="42" t="s">
        <v>35</v>
      </c>
      <c r="H119" s="43"/>
      <c r="I119" s="43">
        <f>vicboards</f>
        <v>62.440191387559814</v>
      </c>
      <c r="J119" s="36">
        <f t="shared" si="9"/>
        <v>62.440191387559814</v>
      </c>
      <c r="K119" s="37">
        <f t="shared" si="10"/>
      </c>
      <c r="L119" s="31"/>
      <c r="M119" s="45">
        <f>+F119</f>
        <v>0</v>
      </c>
      <c r="N119" s="42" t="s">
        <v>35</v>
      </c>
      <c r="O119" s="36">
        <f>+I119</f>
        <v>62.440191387559814</v>
      </c>
      <c r="P119" s="37">
        <f t="shared" si="11"/>
      </c>
      <c r="Q119" s="54"/>
      <c r="S119" s="110" t="str">
        <f>+E119</f>
        <v>Allowance for new boards to replace breakages (20%)</v>
      </c>
      <c r="T119" s="114">
        <f>+K119</f>
      </c>
      <c r="U119" s="12"/>
      <c r="V119" s="12">
        <v>25</v>
      </c>
      <c r="W119" s="19" t="e">
        <f>ROUND(+IF(V119&gt;0,T119/V119,""),2)</f>
        <v>#VALUE!</v>
      </c>
      <c r="X119" s="111"/>
    </row>
    <row r="120" spans="1:24" ht="12.75" hidden="1" outlineLevel="1">
      <c r="A120" s="60"/>
      <c r="B120" s="61"/>
      <c r="C120" s="64"/>
      <c r="D120" s="63"/>
      <c r="E120" s="38"/>
      <c r="F120" s="33"/>
      <c r="G120" s="34"/>
      <c r="H120" s="39"/>
      <c r="I120" s="39"/>
      <c r="J120" s="36">
        <f t="shared" si="9"/>
      </c>
      <c r="K120" s="37">
        <f t="shared" si="10"/>
      </c>
      <c r="L120" s="31"/>
      <c r="M120" s="33"/>
      <c r="N120" s="34"/>
      <c r="O120" s="36"/>
      <c r="P120" s="37">
        <f t="shared" si="11"/>
      </c>
      <c r="Q120" s="54"/>
      <c r="S120" s="110"/>
      <c r="T120" s="12"/>
      <c r="U120" s="12"/>
      <c r="V120" s="12"/>
      <c r="W120" s="19"/>
      <c r="X120" s="111"/>
    </row>
    <row r="121" spans="1:24" ht="12.75" hidden="1" outlineLevel="1">
      <c r="A121" s="60"/>
      <c r="B121" s="61"/>
      <c r="C121" s="64"/>
      <c r="D121" s="63"/>
      <c r="E121" s="38" t="s">
        <v>75</v>
      </c>
      <c r="F121" s="45" t="s">
        <v>1</v>
      </c>
      <c r="G121" s="42"/>
      <c r="H121" s="43"/>
      <c r="I121" s="43"/>
      <c r="J121" s="36">
        <v>100</v>
      </c>
      <c r="K121" s="37">
        <f t="shared" si="10"/>
        <v>100</v>
      </c>
      <c r="L121" s="31"/>
      <c r="M121" s="45" t="str">
        <f>+F121</f>
        <v>Item</v>
      </c>
      <c r="N121" s="42"/>
      <c r="O121" s="36">
        <v>50</v>
      </c>
      <c r="P121" s="37">
        <f t="shared" si="11"/>
        <v>50</v>
      </c>
      <c r="Q121" s="54"/>
      <c r="S121" s="110" t="str">
        <f>+E121</f>
        <v>Sundry materials and tools (staples, etc)</v>
      </c>
      <c r="T121" s="114">
        <f>+K121</f>
        <v>100</v>
      </c>
      <c r="U121" s="12"/>
      <c r="V121" s="12">
        <v>25</v>
      </c>
      <c r="W121" s="19">
        <f>ROUND(+IF(V121&gt;0,T121/V121,""),2)</f>
        <v>4</v>
      </c>
      <c r="X121" s="111"/>
    </row>
    <row r="122" spans="1:24" ht="12.75" hidden="1" outlineLevel="1">
      <c r="A122" s="60"/>
      <c r="B122" s="61"/>
      <c r="C122" s="64"/>
      <c r="D122" s="63"/>
      <c r="E122" s="38"/>
      <c r="F122" s="45"/>
      <c r="G122" s="42"/>
      <c r="H122" s="43"/>
      <c r="I122" s="43"/>
      <c r="J122" s="36">
        <f>IF(+I122+H122&gt;0,I122+(H122*labour),"")</f>
      </c>
      <c r="K122" s="37">
        <f t="shared" si="10"/>
      </c>
      <c r="L122" s="31"/>
      <c r="M122" s="45"/>
      <c r="N122" s="42"/>
      <c r="O122" s="36"/>
      <c r="P122" s="37">
        <f t="shared" si="11"/>
      </c>
      <c r="Q122" s="54"/>
      <c r="S122" s="110"/>
      <c r="T122" s="12"/>
      <c r="U122" s="12"/>
      <c r="V122" s="12"/>
      <c r="W122" s="19"/>
      <c r="X122" s="111"/>
    </row>
    <row r="123" spans="1:24" ht="12.75" hidden="1" outlineLevel="1">
      <c r="A123" s="60"/>
      <c r="B123" s="61"/>
      <c r="C123" s="64"/>
      <c r="D123" s="63"/>
      <c r="E123" s="38" t="s">
        <v>78</v>
      </c>
      <c r="F123" s="45" t="s">
        <v>1</v>
      </c>
      <c r="G123" s="42"/>
      <c r="H123" s="43"/>
      <c r="I123" s="43"/>
      <c r="J123" s="36">
        <v>100</v>
      </c>
      <c r="K123" s="37">
        <f t="shared" si="10"/>
        <v>100</v>
      </c>
      <c r="L123" s="31"/>
      <c r="M123" s="33" t="str">
        <f>+F123</f>
        <v>Item</v>
      </c>
      <c r="N123" s="42"/>
      <c r="O123" s="36">
        <f>+J123</f>
        <v>100</v>
      </c>
      <c r="P123" s="37">
        <f t="shared" si="11"/>
        <v>100</v>
      </c>
      <c r="Q123" s="54"/>
      <c r="S123" s="110" t="str">
        <f>+E123</f>
        <v>Delivery of materials</v>
      </c>
      <c r="T123" s="114">
        <f>+K123</f>
        <v>100</v>
      </c>
      <c r="U123" s="12"/>
      <c r="V123" s="12">
        <v>25</v>
      </c>
      <c r="W123" s="19">
        <f>ROUND(+IF(V123&gt;0,T123/V123,""),2)</f>
        <v>4</v>
      </c>
      <c r="X123" s="111"/>
    </row>
    <row r="124" spans="1:24" ht="12.75" hidden="1" outlineLevel="1">
      <c r="A124" s="60"/>
      <c r="B124" s="61"/>
      <c r="C124" s="64"/>
      <c r="D124" s="63"/>
      <c r="E124" s="38"/>
      <c r="F124" s="45"/>
      <c r="G124" s="42"/>
      <c r="H124" s="43"/>
      <c r="I124" s="43"/>
      <c r="J124" s="36"/>
      <c r="K124" s="37"/>
      <c r="L124" s="31"/>
      <c r="M124" s="33"/>
      <c r="N124" s="42"/>
      <c r="O124" s="36"/>
      <c r="P124" s="37"/>
      <c r="Q124" s="54"/>
      <c r="S124" s="110"/>
      <c r="T124" s="114"/>
      <c r="U124" s="12"/>
      <c r="V124" s="12"/>
      <c r="W124" s="19"/>
      <c r="X124" s="111"/>
    </row>
    <row r="125" spans="1:24" ht="12.75" hidden="1" outlineLevel="1">
      <c r="A125" s="60"/>
      <c r="B125" s="61"/>
      <c r="C125" s="64"/>
      <c r="D125" s="63"/>
      <c r="E125" s="38" t="s">
        <v>362</v>
      </c>
      <c r="F125" s="33">
        <v>10</v>
      </c>
      <c r="G125" s="34" t="s">
        <v>363</v>
      </c>
      <c r="H125" s="39"/>
      <c r="I125" s="39"/>
      <c r="J125" s="36">
        <f>SUM(K111:K124)</f>
        <v>200</v>
      </c>
      <c r="K125" s="37">
        <f>+J125*F125%</f>
        <v>20</v>
      </c>
      <c r="L125" s="31"/>
      <c r="M125" s="33"/>
      <c r="N125" s="42"/>
      <c r="O125" s="36"/>
      <c r="P125" s="37"/>
      <c r="Q125" s="54"/>
      <c r="S125" s="110"/>
      <c r="T125" s="114"/>
      <c r="U125" s="12"/>
      <c r="V125" s="12"/>
      <c r="W125" s="19"/>
      <c r="X125" s="111"/>
    </row>
    <row r="126" spans="1:24" ht="12.75" hidden="1" outlineLevel="1">
      <c r="A126" s="60"/>
      <c r="B126" s="61"/>
      <c r="C126" s="64"/>
      <c r="D126" s="63"/>
      <c r="E126" s="32"/>
      <c r="F126" s="33"/>
      <c r="G126" s="42"/>
      <c r="H126" s="43"/>
      <c r="I126" s="43"/>
      <c r="J126" s="36">
        <f>IF(+I126+H126&gt;0,I126+(H126*labour),"")</f>
      </c>
      <c r="K126" s="37">
        <f>+IF(F126="item",J126,IF(F126&lt;&gt;0,F126*J126,""))</f>
      </c>
      <c r="L126" s="31"/>
      <c r="M126" s="33"/>
      <c r="N126" s="42"/>
      <c r="O126" s="36"/>
      <c r="P126" s="37">
        <f>+IF(M126="item",O126,IF(M126&lt;&gt;0,M126*O126,""))</f>
      </c>
      <c r="Q126" s="54"/>
      <c r="S126" s="110"/>
      <c r="T126" s="12"/>
      <c r="U126" s="12"/>
      <c r="V126" s="12"/>
      <c r="W126" s="19"/>
      <c r="X126" s="111"/>
    </row>
    <row r="127" spans="1:24" ht="12.75" collapsed="1">
      <c r="A127" s="60"/>
      <c r="B127" s="61"/>
      <c r="C127" s="64"/>
      <c r="D127" s="63"/>
      <c r="E127" s="38"/>
      <c r="F127" s="33"/>
      <c r="G127" s="42"/>
      <c r="H127" s="43"/>
      <c r="I127" s="43"/>
      <c r="J127" s="36">
        <f>IF(+I127+H127&gt;0,I127+(H127*labour),"")</f>
      </c>
      <c r="K127" s="37">
        <f>+IF(F127="item",J127,IF(F127&lt;&gt;0,F127*J127,""))</f>
      </c>
      <c r="L127" s="31"/>
      <c r="M127" s="33"/>
      <c r="N127" s="42"/>
      <c r="O127" s="36"/>
      <c r="P127" s="37">
        <f>+IF(M127="item",O127,IF(M127&lt;&gt;0,M127*O127,""))</f>
      </c>
      <c r="Q127" s="54"/>
      <c r="S127" s="110"/>
      <c r="T127" s="12"/>
      <c r="U127" s="12"/>
      <c r="V127" s="12"/>
      <c r="W127" s="19"/>
      <c r="X127" s="111"/>
    </row>
    <row r="128" spans="1:24" ht="12.75">
      <c r="A128" s="60"/>
      <c r="B128" s="61"/>
      <c r="C128" s="64"/>
      <c r="D128" s="63"/>
      <c r="E128" s="32" t="s">
        <v>96</v>
      </c>
      <c r="F128" s="33"/>
      <c r="G128" s="42"/>
      <c r="H128" s="43"/>
      <c r="I128" s="43"/>
      <c r="J128" s="36">
        <f>IF(+I128+H128&gt;0,I128+(H128*labour),"")</f>
      </c>
      <c r="K128" s="53">
        <f>SUM(K129:K133)</f>
        <v>8987.000000000002</v>
      </c>
      <c r="L128" s="31" t="s">
        <v>6</v>
      </c>
      <c r="M128" s="72"/>
      <c r="N128" s="73"/>
      <c r="O128" s="74"/>
      <c r="P128" s="75">
        <f>+IF(M128="item",O128,IF(M128&lt;&gt;0,M128*O128,""))</f>
      </c>
      <c r="Q128" s="76"/>
      <c r="S128" s="110" t="s">
        <v>262</v>
      </c>
      <c r="T128" s="114">
        <f>11*20</f>
        <v>220</v>
      </c>
      <c r="U128" s="12"/>
      <c r="V128" s="12">
        <v>10</v>
      </c>
      <c r="W128" s="112">
        <f>ROUND(+IF(V128&gt;0,T128/V128,""),2)</f>
        <v>22</v>
      </c>
      <c r="X128" s="111" t="s">
        <v>263</v>
      </c>
    </row>
    <row r="129" spans="1:24" ht="12.75">
      <c r="A129" s="60"/>
      <c r="B129" s="61"/>
      <c r="C129" s="64"/>
      <c r="D129" s="63"/>
      <c r="E129" s="38"/>
      <c r="F129" s="33"/>
      <c r="G129" s="34"/>
      <c r="H129" s="39"/>
      <c r="I129" s="39"/>
      <c r="J129" s="36">
        <f>IF(+I129+H129&gt;0,I129+(H129*labour),"")</f>
      </c>
      <c r="K129" s="37">
        <f>+IF(F129="item",J129,IF(F129&lt;&gt;0,F129*J129,""))</f>
      </c>
      <c r="L129" s="31"/>
      <c r="M129" s="72"/>
      <c r="N129" s="73"/>
      <c r="O129" s="74"/>
      <c r="P129" s="75">
        <f>+IF(M129="item",O129,IF(M129&lt;&gt;0,M129*O129,""))</f>
      </c>
      <c r="Q129" s="76"/>
      <c r="S129" s="110"/>
      <c r="T129" s="12"/>
      <c r="U129" s="12"/>
      <c r="V129" s="12"/>
      <c r="W129" s="19"/>
      <c r="X129" s="111"/>
    </row>
    <row r="130" spans="1:24" ht="38.25" hidden="1" outlineLevel="1">
      <c r="A130" s="60"/>
      <c r="B130" s="61"/>
      <c r="C130" s="64"/>
      <c r="D130" s="63"/>
      <c r="E130" s="38"/>
      <c r="F130" s="33">
        <v>16</v>
      </c>
      <c r="G130" s="42" t="s">
        <v>8</v>
      </c>
      <c r="H130" s="43"/>
      <c r="I130" s="43"/>
      <c r="J130" s="36">
        <f>sash</f>
        <v>510.62500000000006</v>
      </c>
      <c r="K130" s="37">
        <f>+IF(F130="item",J130,IF(F130&lt;&gt;0,F130*J130,""))</f>
        <v>8170.000000000001</v>
      </c>
      <c r="L130" s="31" t="s">
        <v>403</v>
      </c>
      <c r="M130" s="72"/>
      <c r="N130" s="73"/>
      <c r="O130" s="74"/>
      <c r="P130" s="75">
        <f>+IF(M130="item",O130,IF(M130&lt;&gt;0,M130*O130,""))</f>
      </c>
      <c r="Q130" s="76"/>
      <c r="S130" s="110"/>
      <c r="T130" s="12"/>
      <c r="U130" s="12"/>
      <c r="V130" s="12"/>
      <c r="W130" s="19"/>
      <c r="X130" s="111"/>
    </row>
    <row r="131" spans="1:24" ht="12.75" hidden="1" outlineLevel="1">
      <c r="A131" s="60"/>
      <c r="B131" s="61"/>
      <c r="C131" s="64"/>
      <c r="D131" s="63"/>
      <c r="E131" s="38"/>
      <c r="F131" s="33"/>
      <c r="G131" s="42"/>
      <c r="H131" s="43"/>
      <c r="I131" s="43"/>
      <c r="J131" s="36"/>
      <c r="K131" s="37"/>
      <c r="L131" s="31"/>
      <c r="M131" s="72"/>
      <c r="N131" s="73"/>
      <c r="O131" s="74"/>
      <c r="P131" s="75"/>
      <c r="Q131" s="76"/>
      <c r="S131" s="110"/>
      <c r="T131" s="12"/>
      <c r="U131" s="12"/>
      <c r="V131" s="12"/>
      <c r="W131" s="19"/>
      <c r="X131" s="111"/>
    </row>
    <row r="132" spans="1:24" ht="12.75" hidden="1" outlineLevel="1">
      <c r="A132" s="60"/>
      <c r="B132" s="61"/>
      <c r="C132" s="64"/>
      <c r="D132" s="63"/>
      <c r="E132" s="38" t="s">
        <v>362</v>
      </c>
      <c r="F132" s="33">
        <v>10</v>
      </c>
      <c r="G132" s="34" t="s">
        <v>363</v>
      </c>
      <c r="H132" s="39"/>
      <c r="I132" s="39"/>
      <c r="J132" s="36">
        <f>SUM(K130:K131)</f>
        <v>8170.000000000001</v>
      </c>
      <c r="K132" s="37">
        <f>+J132*F132%</f>
        <v>817.0000000000001</v>
      </c>
      <c r="L132" s="31"/>
      <c r="M132" s="72"/>
      <c r="N132" s="73"/>
      <c r="O132" s="74"/>
      <c r="P132" s="75"/>
      <c r="Q132" s="76"/>
      <c r="S132" s="110"/>
      <c r="T132" s="12"/>
      <c r="U132" s="12"/>
      <c r="V132" s="12"/>
      <c r="W132" s="19"/>
      <c r="X132" s="111"/>
    </row>
    <row r="133" spans="1:24" ht="12.75" hidden="1" outlineLevel="1">
      <c r="A133" s="60"/>
      <c r="B133" s="61"/>
      <c r="C133" s="64"/>
      <c r="D133" s="63"/>
      <c r="E133" s="32"/>
      <c r="F133" s="33"/>
      <c r="G133" s="42"/>
      <c r="H133" s="43"/>
      <c r="I133" s="43"/>
      <c r="J133" s="36">
        <f aca="true" t="shared" si="12" ref="J133:J142">IF(+I133+H133&gt;0,I133+(H133*labour),"")</f>
      </c>
      <c r="K133" s="37">
        <f>+IF(F133="item",J133,IF(F133&lt;&gt;0,F133*J133,""))</f>
      </c>
      <c r="L133" s="31"/>
      <c r="M133" s="72"/>
      <c r="N133" s="73"/>
      <c r="O133" s="74"/>
      <c r="P133" s="75">
        <f aca="true" t="shared" si="13" ref="P133:P139">+IF(M133="item",O133,IF(M133&lt;&gt;0,M133*O133,""))</f>
      </c>
      <c r="Q133" s="76"/>
      <c r="S133" s="110"/>
      <c r="T133" s="12"/>
      <c r="U133" s="12"/>
      <c r="V133" s="12"/>
      <c r="W133" s="19"/>
      <c r="X133" s="111"/>
    </row>
    <row r="134" spans="1:24" ht="12.75" collapsed="1">
      <c r="A134" s="60"/>
      <c r="B134" s="61"/>
      <c r="C134" s="64"/>
      <c r="D134" s="63"/>
      <c r="E134" s="38"/>
      <c r="F134" s="33"/>
      <c r="G134" s="42"/>
      <c r="H134" s="43"/>
      <c r="I134" s="43"/>
      <c r="J134" s="36">
        <f t="shared" si="12"/>
      </c>
      <c r="K134" s="37">
        <f>+IF(F134="item",J134,IF(F134&lt;&gt;0,F134*J134,""))</f>
      </c>
      <c r="L134" s="31"/>
      <c r="M134" s="33"/>
      <c r="N134" s="42"/>
      <c r="O134" s="36"/>
      <c r="P134" s="37">
        <f t="shared" si="13"/>
      </c>
      <c r="Q134" s="54"/>
      <c r="S134" s="110"/>
      <c r="T134" s="12"/>
      <c r="U134" s="12"/>
      <c r="V134" s="12"/>
      <c r="W134" s="19"/>
      <c r="X134" s="111"/>
    </row>
    <row r="135" spans="1:24" ht="38.25">
      <c r="A135" s="60"/>
      <c r="B135" s="61"/>
      <c r="C135" s="64"/>
      <c r="D135" s="63"/>
      <c r="E135" s="32" t="s">
        <v>100</v>
      </c>
      <c r="F135" s="33"/>
      <c r="G135" s="42"/>
      <c r="H135" s="43"/>
      <c r="I135" s="43"/>
      <c r="J135" s="36">
        <f t="shared" si="12"/>
      </c>
      <c r="K135" s="53">
        <f>(1650+1250)*1.2</f>
        <v>3480</v>
      </c>
      <c r="L135" s="31" t="s">
        <v>103</v>
      </c>
      <c r="M135" s="72"/>
      <c r="N135" s="73"/>
      <c r="O135" s="74"/>
      <c r="P135" s="75">
        <f t="shared" si="13"/>
      </c>
      <c r="Q135" s="76"/>
      <c r="S135" s="110"/>
      <c r="T135" s="12"/>
      <c r="U135" s="12"/>
      <c r="V135" s="12"/>
      <c r="W135" s="19"/>
      <c r="X135" s="116" t="s">
        <v>264</v>
      </c>
    </row>
    <row r="136" spans="1:24" ht="25.5" hidden="1" outlineLevel="1">
      <c r="A136" s="60"/>
      <c r="B136" s="61"/>
      <c r="C136" s="64"/>
      <c r="D136" s="63"/>
      <c r="E136" s="38"/>
      <c r="F136" s="33"/>
      <c r="G136" s="42"/>
      <c r="H136" s="43"/>
      <c r="I136" s="43"/>
      <c r="J136" s="36">
        <f t="shared" si="12"/>
      </c>
      <c r="K136" s="37">
        <f>+IF(F136="item",J136,IF(F136&lt;&gt;0,F136*J136,""))</f>
      </c>
      <c r="L136" s="31" t="s">
        <v>404</v>
      </c>
      <c r="M136" s="72"/>
      <c r="N136" s="73"/>
      <c r="O136" s="74"/>
      <c r="P136" s="75">
        <f t="shared" si="13"/>
      </c>
      <c r="Q136" s="76"/>
      <c r="S136" s="110"/>
      <c r="T136" s="12"/>
      <c r="U136" s="12"/>
      <c r="V136" s="12"/>
      <c r="W136" s="19"/>
      <c r="X136" s="111"/>
    </row>
    <row r="137" spans="1:24" ht="12.75" hidden="1" outlineLevel="1">
      <c r="A137" s="60"/>
      <c r="B137" s="61"/>
      <c r="C137" s="64"/>
      <c r="D137" s="63"/>
      <c r="E137" s="38"/>
      <c r="F137" s="33"/>
      <c r="G137" s="42"/>
      <c r="H137" s="43"/>
      <c r="I137" s="43"/>
      <c r="J137" s="36">
        <f t="shared" si="12"/>
      </c>
      <c r="K137" s="37">
        <f>+IF(F137="item",J137,IF(F137&lt;&gt;0,F137*J137,""))</f>
      </c>
      <c r="L137" s="31"/>
      <c r="M137" s="72"/>
      <c r="N137" s="73"/>
      <c r="O137" s="74"/>
      <c r="P137" s="75">
        <f t="shared" si="13"/>
      </c>
      <c r="Q137" s="76"/>
      <c r="S137" s="110"/>
      <c r="T137" s="12"/>
      <c r="U137" s="12"/>
      <c r="V137" s="12"/>
      <c r="W137" s="19"/>
      <c r="X137" s="111"/>
    </row>
    <row r="138" spans="1:24" ht="12.75" collapsed="1">
      <c r="A138" s="60"/>
      <c r="B138" s="61"/>
      <c r="C138" s="64"/>
      <c r="D138" s="63"/>
      <c r="E138" s="38"/>
      <c r="F138" s="33"/>
      <c r="G138" s="42"/>
      <c r="H138" s="43"/>
      <c r="I138" s="43"/>
      <c r="J138" s="36">
        <f t="shared" si="12"/>
      </c>
      <c r="K138" s="37">
        <f>+IF(F138="item",J138,IF(F138&lt;&gt;0,F138*J138,""))</f>
      </c>
      <c r="L138" s="31"/>
      <c r="M138" s="33"/>
      <c r="N138" s="42"/>
      <c r="O138" s="36"/>
      <c r="P138" s="37">
        <f t="shared" si="13"/>
      </c>
      <c r="Q138" s="54"/>
      <c r="S138" s="110"/>
      <c r="T138" s="12"/>
      <c r="U138" s="12"/>
      <c r="V138" s="12"/>
      <c r="W138" s="19"/>
      <c r="X138" s="111"/>
    </row>
    <row r="139" spans="1:24" ht="12.75">
      <c r="A139" s="60"/>
      <c r="B139" s="61"/>
      <c r="C139" s="64"/>
      <c r="D139" s="63"/>
      <c r="E139" s="38"/>
      <c r="F139" s="33"/>
      <c r="G139" s="42"/>
      <c r="H139" s="43"/>
      <c r="I139" s="43"/>
      <c r="J139" s="36">
        <f t="shared" si="12"/>
      </c>
      <c r="K139" s="37">
        <f>+IF(F139="item",J139,IF(F139&lt;&gt;0,F139*J139,""))</f>
      </c>
      <c r="L139" s="31"/>
      <c r="M139" s="33"/>
      <c r="N139" s="42"/>
      <c r="O139" s="36"/>
      <c r="P139" s="37">
        <f t="shared" si="13"/>
      </c>
      <c r="Q139" s="54"/>
      <c r="S139" s="110"/>
      <c r="T139" s="12"/>
      <c r="U139" s="12"/>
      <c r="V139" s="12"/>
      <c r="W139" s="19"/>
      <c r="X139" s="111"/>
    </row>
    <row r="140" spans="1:24" ht="25.5">
      <c r="A140" s="60"/>
      <c r="B140" s="61"/>
      <c r="C140" s="64"/>
      <c r="D140" s="63"/>
      <c r="E140" s="142" t="s">
        <v>104</v>
      </c>
      <c r="F140" s="72"/>
      <c r="G140" s="73"/>
      <c r="H140" s="140"/>
      <c r="I140" s="140"/>
      <c r="J140" s="74">
        <f t="shared" si="12"/>
      </c>
      <c r="K140" s="165"/>
      <c r="L140" s="141" t="s">
        <v>405</v>
      </c>
      <c r="M140" s="72"/>
      <c r="N140" s="73"/>
      <c r="O140" s="74"/>
      <c r="P140" s="165"/>
      <c r="Q140" s="76"/>
      <c r="S140" s="110"/>
      <c r="T140" s="12"/>
      <c r="U140" s="12"/>
      <c r="V140" s="12"/>
      <c r="W140" s="112" t="e">
        <f>SUM(W141:W156)</f>
        <v>#VALUE!</v>
      </c>
      <c r="X140" s="111"/>
    </row>
    <row r="141" spans="1:24" ht="12.75">
      <c r="A141" s="60"/>
      <c r="B141" s="61"/>
      <c r="C141" s="64"/>
      <c r="D141" s="63"/>
      <c r="E141" s="38"/>
      <c r="F141" s="33"/>
      <c r="G141" s="42"/>
      <c r="H141" s="43"/>
      <c r="I141" s="43"/>
      <c r="J141" s="36">
        <f t="shared" si="12"/>
      </c>
      <c r="K141" s="37">
        <f>+IF(F141="item",J141,IF(F141&lt;&gt;0,F141*J141,""))</f>
      </c>
      <c r="L141" s="31"/>
      <c r="M141" s="33"/>
      <c r="N141" s="42"/>
      <c r="O141" s="36"/>
      <c r="P141" s="37">
        <f>+IF(M141="item",O141,IF(M141&lt;&gt;0,M141*O141,""))</f>
      </c>
      <c r="Q141" s="54"/>
      <c r="S141" s="113" t="s">
        <v>257</v>
      </c>
      <c r="T141" s="12"/>
      <c r="U141" s="12"/>
      <c r="V141" s="12"/>
      <c r="W141" s="19"/>
      <c r="X141" s="111"/>
    </row>
    <row r="142" spans="1:24" ht="12.75" hidden="1" outlineLevel="1">
      <c r="A142" s="60"/>
      <c r="B142" s="61"/>
      <c r="C142" s="64"/>
      <c r="D142" s="63"/>
      <c r="E142" s="38" t="s">
        <v>62</v>
      </c>
      <c r="F142" s="33">
        <f>ROUND(D148,0)</f>
        <v>0</v>
      </c>
      <c r="G142" s="42" t="s">
        <v>35</v>
      </c>
      <c r="H142" s="43"/>
      <c r="I142" s="43">
        <f>+felt</f>
        <v>3.2016000000000004</v>
      </c>
      <c r="J142" s="36">
        <f t="shared" si="12"/>
        <v>3.2016000000000004</v>
      </c>
      <c r="K142" s="37">
        <f>+IF(F142="item",J142,IF(F142&lt;&gt;0,F142*J142,""))</f>
      </c>
      <c r="L142" s="31"/>
      <c r="M142" s="33">
        <v>200</v>
      </c>
      <c r="N142" s="42" t="s">
        <v>35</v>
      </c>
      <c r="O142" s="36">
        <f>+I142/1.1</f>
        <v>2.9105454545454545</v>
      </c>
      <c r="P142" s="37">
        <f>+IF(M142="item",O142,IF(M142&lt;&gt;0,M142*O142,""))</f>
        <v>582.1090909090909</v>
      </c>
      <c r="Q142" s="54" t="s">
        <v>119</v>
      </c>
      <c r="S142" s="110" t="str">
        <f>+E142</f>
        <v>Underlay</v>
      </c>
      <c r="T142" s="114">
        <f>+K142</f>
      </c>
      <c r="U142" s="12"/>
      <c r="V142" s="12">
        <v>60</v>
      </c>
      <c r="W142" s="19" t="e">
        <f>ROUND(+IF(V142&gt;0,T142/V142,""),2)</f>
        <v>#VALUE!</v>
      </c>
      <c r="X142" s="111"/>
    </row>
    <row r="143" spans="1:24" ht="12.75" hidden="1" outlineLevel="1">
      <c r="A143" s="60"/>
      <c r="B143" s="137"/>
      <c r="C143" s="64"/>
      <c r="D143" s="63"/>
      <c r="E143" s="38"/>
      <c r="F143" s="33"/>
      <c r="G143" s="42"/>
      <c r="H143" s="43"/>
      <c r="I143" s="43"/>
      <c r="J143" s="36"/>
      <c r="K143" s="37"/>
      <c r="L143" s="31"/>
      <c r="M143" s="33"/>
      <c r="N143" s="42"/>
      <c r="O143" s="36"/>
      <c r="P143" s="37"/>
      <c r="Q143" s="54"/>
      <c r="S143" s="110"/>
      <c r="T143" s="114"/>
      <c r="U143" s="12"/>
      <c r="V143" s="12"/>
      <c r="W143" s="19"/>
      <c r="X143" s="111"/>
    </row>
    <row r="144" spans="1:24" ht="12.75" hidden="1" outlineLevel="1">
      <c r="A144" s="60"/>
      <c r="B144" s="61"/>
      <c r="C144" s="135"/>
      <c r="D144" s="63"/>
      <c r="E144" s="38"/>
      <c r="F144" s="33"/>
      <c r="G144" s="42"/>
      <c r="H144" s="43"/>
      <c r="I144" s="43"/>
      <c r="J144" s="36"/>
      <c r="K144" s="37"/>
      <c r="L144" s="31"/>
      <c r="M144" s="33"/>
      <c r="N144" s="42"/>
      <c r="O144" s="36"/>
      <c r="P144" s="37"/>
      <c r="Q144" s="54"/>
      <c r="S144" s="110"/>
      <c r="T144" s="114"/>
      <c r="U144" s="12"/>
      <c r="V144" s="12"/>
      <c r="W144" s="19"/>
      <c r="X144" s="111"/>
    </row>
    <row r="145" spans="1:24" ht="12.75" hidden="1" outlineLevel="1">
      <c r="A145" s="60"/>
      <c r="B145" s="137"/>
      <c r="C145" s="64"/>
      <c r="D145" s="63"/>
      <c r="E145" s="38"/>
      <c r="F145" s="33"/>
      <c r="G145" s="42"/>
      <c r="H145" s="43"/>
      <c r="I145" s="43"/>
      <c r="J145" s="36"/>
      <c r="K145" s="37"/>
      <c r="L145" s="31"/>
      <c r="M145" s="33"/>
      <c r="N145" s="42"/>
      <c r="O145" s="36"/>
      <c r="P145" s="37"/>
      <c r="Q145" s="54"/>
      <c r="S145" s="110"/>
      <c r="T145" s="114"/>
      <c r="U145" s="12"/>
      <c r="V145" s="12"/>
      <c r="W145" s="19"/>
      <c r="X145" s="111"/>
    </row>
    <row r="146" spans="1:24" ht="12.75" hidden="1" outlineLevel="1">
      <c r="A146" s="60"/>
      <c r="B146" s="61"/>
      <c r="C146" s="135"/>
      <c r="D146" s="63"/>
      <c r="E146" s="38"/>
      <c r="F146" s="33"/>
      <c r="G146" s="42"/>
      <c r="H146" s="43"/>
      <c r="I146" s="43"/>
      <c r="J146" s="36"/>
      <c r="K146" s="37"/>
      <c r="L146" s="31"/>
      <c r="M146" s="33"/>
      <c r="N146" s="42"/>
      <c r="O146" s="36"/>
      <c r="P146" s="37"/>
      <c r="Q146" s="54"/>
      <c r="S146" s="110"/>
      <c r="T146" s="114"/>
      <c r="U146" s="12"/>
      <c r="V146" s="12"/>
      <c r="W146" s="19"/>
      <c r="X146" s="111"/>
    </row>
    <row r="147" spans="1:24" ht="12.75" hidden="1" outlineLevel="1">
      <c r="A147" s="60"/>
      <c r="B147" s="61"/>
      <c r="C147" s="64"/>
      <c r="D147" s="63"/>
      <c r="E147" s="38"/>
      <c r="F147" s="33"/>
      <c r="G147" s="42"/>
      <c r="H147" s="43"/>
      <c r="I147" s="43"/>
      <c r="J147" s="36"/>
      <c r="K147" s="37"/>
      <c r="L147" s="31"/>
      <c r="M147" s="33"/>
      <c r="N147" s="42"/>
      <c r="O147" s="36"/>
      <c r="P147" s="37"/>
      <c r="Q147" s="54"/>
      <c r="S147" s="110"/>
      <c r="T147" s="114"/>
      <c r="U147" s="12"/>
      <c r="V147" s="12"/>
      <c r="W147" s="19"/>
      <c r="X147" s="111"/>
    </row>
    <row r="148" spans="1:24" ht="12.75" hidden="1" outlineLevel="1">
      <c r="A148" s="60"/>
      <c r="B148" s="61"/>
      <c r="C148" s="64"/>
      <c r="D148" s="65"/>
      <c r="E148" s="38"/>
      <c r="F148" s="33"/>
      <c r="G148" s="42"/>
      <c r="H148" s="43"/>
      <c r="I148" s="43"/>
      <c r="J148" s="36"/>
      <c r="K148" s="37"/>
      <c r="L148" s="31"/>
      <c r="M148" s="33"/>
      <c r="N148" s="42"/>
      <c r="O148" s="36"/>
      <c r="P148" s="37"/>
      <c r="Q148" s="54"/>
      <c r="S148" s="110"/>
      <c r="T148" s="114"/>
      <c r="U148" s="12"/>
      <c r="V148" s="12"/>
      <c r="W148" s="19"/>
      <c r="X148" s="111"/>
    </row>
    <row r="149" spans="1:24" ht="12.75" hidden="1" outlineLevel="1">
      <c r="A149" s="60"/>
      <c r="B149" s="61"/>
      <c r="C149" s="64"/>
      <c r="D149" s="63"/>
      <c r="E149" s="38"/>
      <c r="F149" s="33"/>
      <c r="G149" s="42"/>
      <c r="H149" s="43"/>
      <c r="I149" s="43"/>
      <c r="J149" s="36">
        <f aca="true" t="shared" si="14" ref="J149:J155">IF(+I149+H149&gt;0,I149+(H149*labour),"")</f>
      </c>
      <c r="K149" s="37">
        <f aca="true" t="shared" si="15" ref="K149:K156">+IF(F149="item",J149,IF(F149&lt;&gt;0,F149*J149,""))</f>
      </c>
      <c r="L149" s="31"/>
      <c r="M149" s="33"/>
      <c r="N149" s="42"/>
      <c r="O149" s="36"/>
      <c r="P149" s="37">
        <f aca="true" t="shared" si="16" ref="P149:P156">+IF(M149="item",O149,IF(M149&lt;&gt;0,M149*O149,""))</f>
      </c>
      <c r="Q149" s="54"/>
      <c r="S149" s="110"/>
      <c r="T149" s="12"/>
      <c r="U149" s="12"/>
      <c r="V149" s="12"/>
      <c r="W149" s="19"/>
      <c r="X149" s="111"/>
    </row>
    <row r="150" spans="1:24" ht="12.75" hidden="1" outlineLevel="1">
      <c r="A150" s="60"/>
      <c r="B150" s="61"/>
      <c r="C150" s="64"/>
      <c r="D150" s="63"/>
      <c r="E150" s="38" t="s">
        <v>107</v>
      </c>
      <c r="F150" s="33"/>
      <c r="G150" s="42" t="s">
        <v>108</v>
      </c>
      <c r="H150" s="43"/>
      <c r="I150" s="43">
        <v>0.5</v>
      </c>
      <c r="J150" s="36">
        <f t="shared" si="14"/>
        <v>0.5</v>
      </c>
      <c r="K150" s="37">
        <f t="shared" si="15"/>
      </c>
      <c r="L150" s="31"/>
      <c r="M150" s="33">
        <f>+F150</f>
        <v>0</v>
      </c>
      <c r="N150" s="42"/>
      <c r="O150" s="36">
        <f>+I150</f>
        <v>0.5</v>
      </c>
      <c r="P150" s="37">
        <f t="shared" si="16"/>
      </c>
      <c r="Q150" s="54"/>
      <c r="S150" s="110" t="str">
        <f>+E150</f>
        <v>Battens</v>
      </c>
      <c r="T150" s="114">
        <f>+K150</f>
      </c>
      <c r="U150" s="12"/>
      <c r="V150" s="12">
        <v>60</v>
      </c>
      <c r="W150" s="19" t="e">
        <f>ROUND(+IF(V150&gt;0,T150/V150,""),2)</f>
        <v>#VALUE!</v>
      </c>
      <c r="X150" s="111"/>
    </row>
    <row r="151" spans="1:24" ht="12.75" hidden="1" outlineLevel="1">
      <c r="A151" s="60"/>
      <c r="B151" s="61"/>
      <c r="C151" s="64"/>
      <c r="D151" s="63"/>
      <c r="E151" s="38"/>
      <c r="F151" s="33"/>
      <c r="G151" s="42"/>
      <c r="H151" s="43"/>
      <c r="I151" s="43"/>
      <c r="J151" s="36">
        <f t="shared" si="14"/>
      </c>
      <c r="K151" s="37">
        <f t="shared" si="15"/>
      </c>
      <c r="L151" s="31"/>
      <c r="M151" s="33"/>
      <c r="N151" s="42"/>
      <c r="O151" s="36"/>
      <c r="P151" s="37">
        <f t="shared" si="16"/>
      </c>
      <c r="Q151" s="54"/>
      <c r="S151" s="110"/>
      <c r="T151" s="12"/>
      <c r="U151" s="12"/>
      <c r="V151" s="12"/>
      <c r="W151" s="19"/>
      <c r="X151" s="111"/>
    </row>
    <row r="152" spans="1:24" ht="12.75" hidden="1" outlineLevel="1">
      <c r="A152" s="60"/>
      <c r="B152" s="61"/>
      <c r="C152" s="64"/>
      <c r="D152" s="63"/>
      <c r="E152" s="38" t="s">
        <v>109</v>
      </c>
      <c r="F152" s="33"/>
      <c r="G152" s="42"/>
      <c r="H152" s="43"/>
      <c r="I152" s="43">
        <v>50</v>
      </c>
      <c r="J152" s="36">
        <f t="shared" si="14"/>
        <v>50</v>
      </c>
      <c r="K152" s="37">
        <f t="shared" si="15"/>
      </c>
      <c r="L152" s="31"/>
      <c r="M152" s="33">
        <f>+F152</f>
        <v>0</v>
      </c>
      <c r="N152" s="42"/>
      <c r="O152" s="36">
        <f>+I152</f>
        <v>50</v>
      </c>
      <c r="P152" s="37">
        <f t="shared" si="16"/>
      </c>
      <c r="Q152" s="54"/>
      <c r="S152" s="110" t="str">
        <f>+E152</f>
        <v>Caulk, staples, sundry materials</v>
      </c>
      <c r="T152" s="114">
        <f>+K152</f>
      </c>
      <c r="U152" s="12"/>
      <c r="V152" s="12">
        <v>60</v>
      </c>
      <c r="W152" s="19" t="e">
        <f>ROUND(+IF(V152&gt;0,T152/V152,""),2)</f>
        <v>#VALUE!</v>
      </c>
      <c r="X152" s="111"/>
    </row>
    <row r="153" spans="1:24" ht="12.75" hidden="1" outlineLevel="1">
      <c r="A153" s="60"/>
      <c r="B153" s="61"/>
      <c r="C153" s="64"/>
      <c r="D153" s="63"/>
      <c r="E153" s="38"/>
      <c r="F153" s="33"/>
      <c r="G153" s="42"/>
      <c r="H153" s="43"/>
      <c r="I153" s="43"/>
      <c r="J153" s="36">
        <f t="shared" si="14"/>
      </c>
      <c r="K153" s="37">
        <f t="shared" si="15"/>
      </c>
      <c r="L153" s="31"/>
      <c r="M153" s="33"/>
      <c r="N153" s="42"/>
      <c r="O153" s="36"/>
      <c r="P153" s="37">
        <f t="shared" si="16"/>
      </c>
      <c r="Q153" s="54"/>
      <c r="S153" s="110"/>
      <c r="T153" s="12"/>
      <c r="U153" s="12"/>
      <c r="V153" s="12"/>
      <c r="W153" s="19"/>
      <c r="X153" s="111"/>
    </row>
    <row r="154" spans="1:24" ht="12.75" hidden="1" outlineLevel="1">
      <c r="A154" s="60"/>
      <c r="B154" s="61"/>
      <c r="C154" s="64"/>
      <c r="D154" s="63"/>
      <c r="E154" s="38" t="s">
        <v>4</v>
      </c>
      <c r="F154" s="33"/>
      <c r="G154" s="42" t="s">
        <v>110</v>
      </c>
      <c r="H154" s="43">
        <v>8</v>
      </c>
      <c r="I154" s="43"/>
      <c r="J154" s="36">
        <f t="shared" si="14"/>
        <v>240</v>
      </c>
      <c r="K154" s="37">
        <f t="shared" si="15"/>
      </c>
      <c r="L154" s="31" t="s">
        <v>111</v>
      </c>
      <c r="M154" s="33"/>
      <c r="N154" s="42"/>
      <c r="O154" s="36"/>
      <c r="P154" s="37">
        <f t="shared" si="16"/>
      </c>
      <c r="Q154" s="54"/>
      <c r="S154" s="110" t="str">
        <f>+E154</f>
        <v>Labour</v>
      </c>
      <c r="T154" s="114">
        <f>+K154</f>
      </c>
      <c r="U154" s="12"/>
      <c r="V154" s="12">
        <v>60</v>
      </c>
      <c r="W154" s="19" t="e">
        <f>ROUND(+IF(V154&gt;0,T154/V154,""),2)</f>
        <v>#VALUE!</v>
      </c>
      <c r="X154" s="111"/>
    </row>
    <row r="155" spans="1:24" ht="12.75" hidden="1" outlineLevel="1">
      <c r="A155" s="60"/>
      <c r="B155" s="61"/>
      <c r="C155" s="64"/>
      <c r="D155" s="63"/>
      <c r="E155" s="38"/>
      <c r="F155" s="33"/>
      <c r="G155" s="42"/>
      <c r="H155" s="43"/>
      <c r="I155" s="43"/>
      <c r="J155" s="36">
        <f t="shared" si="14"/>
      </c>
      <c r="K155" s="37">
        <f t="shared" si="15"/>
      </c>
      <c r="L155" s="31"/>
      <c r="M155" s="33"/>
      <c r="N155" s="42"/>
      <c r="O155" s="36"/>
      <c r="P155" s="37">
        <f t="shared" si="16"/>
      </c>
      <c r="Q155" s="54"/>
      <c r="S155" s="110"/>
      <c r="T155" s="12"/>
      <c r="U155" s="12"/>
      <c r="V155" s="12"/>
      <c r="W155" s="19"/>
      <c r="X155" s="111"/>
    </row>
    <row r="156" spans="1:24" ht="12.75" hidden="1" outlineLevel="1">
      <c r="A156" s="60"/>
      <c r="B156" s="61"/>
      <c r="C156" s="64"/>
      <c r="D156" s="63"/>
      <c r="E156" s="38" t="s">
        <v>112</v>
      </c>
      <c r="F156" s="33"/>
      <c r="G156" s="42"/>
      <c r="H156" s="43"/>
      <c r="I156" s="43"/>
      <c r="J156" s="36">
        <v>250</v>
      </c>
      <c r="K156" s="37">
        <f t="shared" si="15"/>
      </c>
      <c r="L156" s="31"/>
      <c r="M156" s="33" t="s">
        <v>1</v>
      </c>
      <c r="N156" s="42"/>
      <c r="O156" s="36">
        <v>50</v>
      </c>
      <c r="P156" s="37">
        <f t="shared" si="16"/>
        <v>50</v>
      </c>
      <c r="Q156" s="54"/>
      <c r="S156" s="110" t="str">
        <f>+E156</f>
        <v>Allow for temporary boarding/ access</v>
      </c>
      <c r="T156" s="114">
        <f>+K156</f>
      </c>
      <c r="U156" s="12"/>
      <c r="V156" s="12">
        <v>60</v>
      </c>
      <c r="W156" s="19" t="e">
        <f>ROUND(+IF(V156&gt;0,T156/V156,""),2)</f>
        <v>#VALUE!</v>
      </c>
      <c r="X156" s="111"/>
    </row>
    <row r="157" spans="1:24" ht="12.75" hidden="1" outlineLevel="1">
      <c r="A157" s="60"/>
      <c r="B157" s="61"/>
      <c r="C157" s="64"/>
      <c r="D157" s="63"/>
      <c r="E157" s="38"/>
      <c r="F157" s="33"/>
      <c r="G157" s="42"/>
      <c r="H157" s="43"/>
      <c r="I157" s="43"/>
      <c r="J157" s="36"/>
      <c r="K157" s="37"/>
      <c r="L157" s="31"/>
      <c r="M157" s="33"/>
      <c r="N157" s="42"/>
      <c r="O157" s="36"/>
      <c r="P157" s="37"/>
      <c r="Q157" s="54"/>
      <c r="S157" s="110"/>
      <c r="T157" s="114"/>
      <c r="U157" s="12"/>
      <c r="V157" s="12"/>
      <c r="W157" s="19"/>
      <c r="X157" s="111"/>
    </row>
    <row r="158" spans="1:24" ht="12.75" hidden="1" outlineLevel="1">
      <c r="A158" s="60"/>
      <c r="B158" s="61"/>
      <c r="C158" s="64"/>
      <c r="D158" s="63"/>
      <c r="E158" s="38" t="s">
        <v>362</v>
      </c>
      <c r="F158" s="33"/>
      <c r="G158" s="34" t="s">
        <v>363</v>
      </c>
      <c r="H158" s="39"/>
      <c r="I158" s="39"/>
      <c r="J158" s="36">
        <f>SUM(K142:K157)</f>
        <v>0</v>
      </c>
      <c r="K158" s="37">
        <f>+J158*F158%</f>
        <v>0</v>
      </c>
      <c r="L158" s="31"/>
      <c r="M158" s="33"/>
      <c r="N158" s="42"/>
      <c r="O158" s="36"/>
      <c r="P158" s="37"/>
      <c r="Q158" s="54"/>
      <c r="S158" s="110"/>
      <c r="T158" s="114"/>
      <c r="U158" s="12"/>
      <c r="V158" s="12"/>
      <c r="W158" s="19"/>
      <c r="X158" s="111"/>
    </row>
    <row r="159" spans="1:24" ht="12.75" collapsed="1">
      <c r="A159" s="60"/>
      <c r="B159" s="61"/>
      <c r="C159" s="64"/>
      <c r="D159" s="63"/>
      <c r="E159" s="38"/>
      <c r="F159" s="33"/>
      <c r="G159" s="42"/>
      <c r="H159" s="43"/>
      <c r="I159" s="43"/>
      <c r="J159" s="36">
        <f aca="true" t="shared" si="17" ref="J159:J166">IF(+I159+H159&gt;0,I159+(H159*labour),"")</f>
      </c>
      <c r="K159" s="37">
        <f>+IF(F159="item",J159,IF(F159&lt;&gt;0,F159*J159,""))</f>
      </c>
      <c r="L159" s="31"/>
      <c r="M159" s="33"/>
      <c r="N159" s="42"/>
      <c r="O159" s="36"/>
      <c r="P159" s="37">
        <f aca="true" t="shared" si="18" ref="P159:P167">+IF(M159="item",O159,IF(M159&lt;&gt;0,M159*O159,""))</f>
      </c>
      <c r="Q159" s="54"/>
      <c r="S159" s="110"/>
      <c r="T159" s="12"/>
      <c r="U159" s="12"/>
      <c r="V159" s="12"/>
      <c r="W159" s="19"/>
      <c r="X159" s="111"/>
    </row>
    <row r="160" spans="1:24" ht="12.75">
      <c r="A160" s="60"/>
      <c r="B160" s="61"/>
      <c r="C160" s="64"/>
      <c r="D160" s="63"/>
      <c r="E160" s="38"/>
      <c r="F160" s="33"/>
      <c r="G160" s="42"/>
      <c r="H160" s="43"/>
      <c r="I160" s="43"/>
      <c r="J160" s="36">
        <f t="shared" si="17"/>
      </c>
      <c r="K160" s="37">
        <f>+IF(F160="item",J160,IF(F160&lt;&gt;0,F160*J160,""))</f>
      </c>
      <c r="L160" s="31"/>
      <c r="M160" s="33"/>
      <c r="N160" s="42"/>
      <c r="O160" s="36"/>
      <c r="P160" s="37">
        <f t="shared" si="18"/>
      </c>
      <c r="Q160" s="54"/>
      <c r="S160" s="110"/>
      <c r="T160" s="12"/>
      <c r="U160" s="12"/>
      <c r="V160" s="12"/>
      <c r="W160" s="19"/>
      <c r="X160" s="111"/>
    </row>
    <row r="161" spans="1:24" ht="15.75">
      <c r="A161" s="60"/>
      <c r="B161" s="61"/>
      <c r="C161" s="64"/>
      <c r="D161" s="63"/>
      <c r="E161" s="78" t="s">
        <v>113</v>
      </c>
      <c r="F161" s="79"/>
      <c r="G161" s="80"/>
      <c r="H161" s="81"/>
      <c r="I161" s="81"/>
      <c r="J161" s="82">
        <f t="shared" si="17"/>
      </c>
      <c r="K161" s="83">
        <f>+IF(F161="item",J161,IF(F161&lt;&gt;0,F161*J161,""))</f>
      </c>
      <c r="L161" s="84"/>
      <c r="M161" s="79"/>
      <c r="N161" s="80"/>
      <c r="O161" s="82"/>
      <c r="P161" s="83">
        <f t="shared" si="18"/>
      </c>
      <c r="Q161" s="85"/>
      <c r="R161" s="89"/>
      <c r="S161" s="117"/>
      <c r="T161" s="118"/>
      <c r="U161" s="118"/>
      <c r="V161" s="118"/>
      <c r="W161" s="119"/>
      <c r="X161" s="120"/>
    </row>
    <row r="162" spans="1:24" ht="12.75">
      <c r="A162" s="60"/>
      <c r="B162" s="61"/>
      <c r="C162" s="64"/>
      <c r="D162" s="63"/>
      <c r="E162" s="38"/>
      <c r="F162" s="33"/>
      <c r="G162" s="42"/>
      <c r="H162" s="43"/>
      <c r="I162" s="43"/>
      <c r="J162" s="36">
        <f t="shared" si="17"/>
      </c>
      <c r="K162" s="37">
        <f>+IF(F162="item",J162,IF(F162&lt;&gt;0,F162*J162,""))</f>
      </c>
      <c r="L162" s="31"/>
      <c r="M162" s="33"/>
      <c r="N162" s="42"/>
      <c r="O162" s="36"/>
      <c r="P162" s="37">
        <f t="shared" si="18"/>
      </c>
      <c r="Q162" s="54"/>
      <c r="S162" s="110"/>
      <c r="T162" s="12"/>
      <c r="U162" s="12"/>
      <c r="V162" s="12"/>
      <c r="W162" s="19"/>
      <c r="X162" s="111"/>
    </row>
    <row r="163" spans="1:24" ht="25.5">
      <c r="A163" s="60"/>
      <c r="B163" s="61"/>
      <c r="C163" s="64"/>
      <c r="D163" s="63"/>
      <c r="E163" s="77" t="s">
        <v>114</v>
      </c>
      <c r="F163" s="33"/>
      <c r="G163" s="42"/>
      <c r="H163" s="43"/>
      <c r="I163" s="43"/>
      <c r="J163" s="36">
        <f t="shared" si="17"/>
      </c>
      <c r="K163" s="53">
        <f>SUM(K165:K170)</f>
        <v>335.59350000000006</v>
      </c>
      <c r="L163" s="31"/>
      <c r="M163" s="72"/>
      <c r="N163" s="73"/>
      <c r="O163" s="74"/>
      <c r="P163" s="75">
        <f t="shared" si="18"/>
      </c>
      <c r="Q163" s="76"/>
      <c r="S163" s="110"/>
      <c r="T163" s="12"/>
      <c r="U163" s="12"/>
      <c r="V163" s="12"/>
      <c r="W163" s="112">
        <f>SUM(W164:W167)</f>
        <v>12.2</v>
      </c>
      <c r="X163" s="111"/>
    </row>
    <row r="164" spans="1:24" ht="12.75">
      <c r="A164" s="60"/>
      <c r="B164" s="61"/>
      <c r="C164" s="64"/>
      <c r="D164" s="63"/>
      <c r="E164" s="38"/>
      <c r="F164" s="33"/>
      <c r="G164" s="42"/>
      <c r="H164" s="43"/>
      <c r="I164" s="43"/>
      <c r="J164" s="36">
        <f t="shared" si="17"/>
      </c>
      <c r="K164" s="37">
        <f>+IF(F164="item",J164,IF(F164&lt;&gt;0,F164*J164,""))</f>
      </c>
      <c r="L164" s="31"/>
      <c r="M164" s="72"/>
      <c r="N164" s="73"/>
      <c r="O164" s="74"/>
      <c r="P164" s="75">
        <f t="shared" si="18"/>
      </c>
      <c r="Q164" s="76"/>
      <c r="S164" s="113" t="s">
        <v>257</v>
      </c>
      <c r="T164" s="12"/>
      <c r="U164" s="12"/>
      <c r="V164" s="12"/>
      <c r="W164" s="19"/>
      <c r="X164" s="111"/>
    </row>
    <row r="165" spans="1:24" ht="12.75" hidden="1" outlineLevel="1">
      <c r="A165" s="60"/>
      <c r="B165" s="61"/>
      <c r="C165" s="64"/>
      <c r="D165" s="63"/>
      <c r="E165" s="38" t="s">
        <v>115</v>
      </c>
      <c r="F165" s="33">
        <v>5</v>
      </c>
      <c r="G165" s="42" t="s">
        <v>8</v>
      </c>
      <c r="H165" s="43">
        <v>1</v>
      </c>
      <c r="I165" s="43">
        <f>PIR</f>
        <v>30.017000000000003</v>
      </c>
      <c r="J165" s="36">
        <f t="shared" si="17"/>
        <v>60.017</v>
      </c>
      <c r="K165" s="37">
        <f>+IF(F165="item",J165,IF(F165&lt;&gt;0,F165*J165,""))</f>
        <v>300.08500000000004</v>
      </c>
      <c r="L165" s="31" t="s">
        <v>364</v>
      </c>
      <c r="M165" s="72"/>
      <c r="N165" s="73"/>
      <c r="O165" s="74"/>
      <c r="P165" s="75">
        <f t="shared" si="18"/>
      </c>
      <c r="Q165" s="76"/>
      <c r="S165" s="110" t="str">
        <f>+E165</f>
        <v>Timeguard ZV810</v>
      </c>
      <c r="T165" s="114">
        <f>+K165</f>
        <v>300.08500000000004</v>
      </c>
      <c r="U165" s="12"/>
      <c r="V165" s="12">
        <v>25</v>
      </c>
      <c r="W165" s="19">
        <f>ROUND(+IF(V165&gt;0,T165/V165,""),2)</f>
        <v>12</v>
      </c>
      <c r="X165" s="111"/>
    </row>
    <row r="166" spans="1:24" ht="12.75" hidden="1" outlineLevel="1">
      <c r="A166" s="60"/>
      <c r="B166" s="61"/>
      <c r="C166" s="64"/>
      <c r="D166" s="63"/>
      <c r="E166" s="38"/>
      <c r="F166" s="33"/>
      <c r="G166" s="42"/>
      <c r="H166" s="43"/>
      <c r="I166" s="43"/>
      <c r="J166" s="36">
        <f t="shared" si="17"/>
      </c>
      <c r="K166" s="37">
        <f>+IF(F166="item",J166,IF(F166&lt;&gt;0,F166*J166,""))</f>
      </c>
      <c r="L166" s="31"/>
      <c r="M166" s="72"/>
      <c r="N166" s="73"/>
      <c r="O166" s="74"/>
      <c r="P166" s="75">
        <f t="shared" si="18"/>
      </c>
      <c r="Q166" s="76"/>
      <c r="S166" s="110"/>
      <c r="T166" s="12"/>
      <c r="U166" s="12"/>
      <c r="V166" s="12"/>
      <c r="W166" s="19"/>
      <c r="X166" s="111"/>
    </row>
    <row r="167" spans="1:24" ht="12.75" hidden="1" outlineLevel="1">
      <c r="A167" s="60"/>
      <c r="B167" s="61"/>
      <c r="C167" s="64"/>
      <c r="D167" s="63"/>
      <c r="E167" s="38" t="s">
        <v>7</v>
      </c>
      <c r="F167" s="33" t="s">
        <v>1</v>
      </c>
      <c r="G167" s="42"/>
      <c r="H167" s="43"/>
      <c r="I167" s="43"/>
      <c r="J167" s="36">
        <v>5</v>
      </c>
      <c r="K167" s="37">
        <f>+IF(F167="item",J167,IF(F167&lt;&gt;0,F167*J167,""))</f>
        <v>5</v>
      </c>
      <c r="L167" s="31"/>
      <c r="M167" s="72"/>
      <c r="N167" s="73"/>
      <c r="O167" s="74"/>
      <c r="P167" s="75">
        <f t="shared" si="18"/>
      </c>
      <c r="Q167" s="76"/>
      <c r="S167" s="110" t="str">
        <f>+E167</f>
        <v>Delivery</v>
      </c>
      <c r="T167" s="114">
        <f>+K167</f>
        <v>5</v>
      </c>
      <c r="U167" s="12"/>
      <c r="V167" s="12">
        <v>25</v>
      </c>
      <c r="W167" s="19">
        <f>ROUND(+IF(V167&gt;0,T167/V167,""),2)</f>
        <v>0.2</v>
      </c>
      <c r="X167" s="111"/>
    </row>
    <row r="168" spans="1:24" ht="12.75" hidden="1" outlineLevel="1">
      <c r="A168" s="60"/>
      <c r="B168" s="61"/>
      <c r="C168" s="64"/>
      <c r="D168" s="63"/>
      <c r="E168" s="38"/>
      <c r="F168" s="33"/>
      <c r="G168" s="42"/>
      <c r="H168" s="43"/>
      <c r="I168" s="43"/>
      <c r="J168" s="36"/>
      <c r="K168" s="37"/>
      <c r="L168" s="31"/>
      <c r="M168" s="72"/>
      <c r="N168" s="73"/>
      <c r="O168" s="74"/>
      <c r="P168" s="75"/>
      <c r="Q168" s="76"/>
      <c r="S168" s="110"/>
      <c r="T168" s="114"/>
      <c r="U168" s="12"/>
      <c r="V168" s="12"/>
      <c r="W168" s="19"/>
      <c r="X168" s="111"/>
    </row>
    <row r="169" spans="1:24" ht="12.75" hidden="1" outlineLevel="1">
      <c r="A169" s="60"/>
      <c r="B169" s="61"/>
      <c r="C169" s="64"/>
      <c r="D169" s="63"/>
      <c r="E169" s="38" t="s">
        <v>362</v>
      </c>
      <c r="F169" s="33">
        <v>10</v>
      </c>
      <c r="G169" s="34" t="s">
        <v>363</v>
      </c>
      <c r="H169" s="39"/>
      <c r="I169" s="39"/>
      <c r="J169" s="36">
        <f>SUM(K165:K168)</f>
        <v>305.08500000000004</v>
      </c>
      <c r="K169" s="37">
        <f>+J169*F169%</f>
        <v>30.508500000000005</v>
      </c>
      <c r="L169" s="31"/>
      <c r="M169" s="72"/>
      <c r="N169" s="73"/>
      <c r="O169" s="74"/>
      <c r="P169" s="75"/>
      <c r="Q169" s="76"/>
      <c r="S169" s="110"/>
      <c r="T169" s="114"/>
      <c r="U169" s="12"/>
      <c r="V169" s="12"/>
      <c r="W169" s="19"/>
      <c r="X169" s="111"/>
    </row>
    <row r="170" spans="1:24" ht="12.75" collapsed="1">
      <c r="A170" s="60"/>
      <c r="B170" s="61"/>
      <c r="C170" s="64"/>
      <c r="D170" s="63"/>
      <c r="E170" s="38"/>
      <c r="F170" s="33"/>
      <c r="G170" s="42"/>
      <c r="H170" s="43"/>
      <c r="I170" s="43"/>
      <c r="J170" s="36">
        <f>IF(+I170+H170&gt;0,I170+(H170*labour),"")</f>
      </c>
      <c r="K170" s="37">
        <f>+IF(F170="item",J170,IF(F170&lt;&gt;0,F170*J170,""))</f>
      </c>
      <c r="L170" s="31"/>
      <c r="M170" s="33"/>
      <c r="N170" s="42"/>
      <c r="O170" s="36"/>
      <c r="P170" s="37">
        <f>+IF(M170="item",O170,IF(M170&lt;&gt;0,M170*O170,""))</f>
      </c>
      <c r="Q170" s="54"/>
      <c r="S170" s="110"/>
      <c r="T170" s="12"/>
      <c r="U170" s="12"/>
      <c r="V170" s="12"/>
      <c r="W170" s="19"/>
      <c r="X170" s="111"/>
    </row>
    <row r="171" spans="1:24" ht="12.75">
      <c r="A171" s="60"/>
      <c r="B171" s="61"/>
      <c r="C171" s="64"/>
      <c r="D171" s="63"/>
      <c r="E171" s="38"/>
      <c r="F171" s="33"/>
      <c r="G171" s="42"/>
      <c r="H171" s="43"/>
      <c r="I171" s="43"/>
      <c r="J171" s="36">
        <f>IF(+I171+H171&gt;0,I171+(H171*labour),"")</f>
      </c>
      <c r="K171" s="37">
        <f>+IF(F171="item",J171,IF(F171&lt;&gt;0,F171*J171,""))</f>
      </c>
      <c r="L171" s="31"/>
      <c r="M171" s="33"/>
      <c r="N171" s="42"/>
      <c r="O171" s="36"/>
      <c r="P171" s="37">
        <f>+IF(M171="item",O171,IF(M171&lt;&gt;0,M171*O171,""))</f>
      </c>
      <c r="Q171" s="54"/>
      <c r="S171" s="110"/>
      <c r="T171" s="12"/>
      <c r="U171" s="12"/>
      <c r="V171" s="12"/>
      <c r="W171" s="19"/>
      <c r="X171" s="111"/>
    </row>
    <row r="172" spans="1:24" ht="25.5">
      <c r="A172" s="60"/>
      <c r="B172" s="61"/>
      <c r="C172" s="64"/>
      <c r="D172" s="63"/>
      <c r="E172" s="77" t="s">
        <v>120</v>
      </c>
      <c r="F172" s="33"/>
      <c r="G172" s="42"/>
      <c r="H172" s="43"/>
      <c r="I172" s="43"/>
      <c r="J172" s="36">
        <f>IF(+I172+H172&gt;0,I172+(H172*labour),"")</f>
      </c>
      <c r="K172" s="53">
        <f>SUM(K173:K179)</f>
        <v>3175.975</v>
      </c>
      <c r="L172" s="31"/>
      <c r="M172" s="33"/>
      <c r="N172" s="42"/>
      <c r="O172" s="36"/>
      <c r="P172" s="53">
        <f>SUM(P173:P177)</f>
        <v>1687.25</v>
      </c>
      <c r="Q172" s="54"/>
      <c r="S172" s="110"/>
      <c r="T172" s="12"/>
      <c r="U172" s="12"/>
      <c r="V172" s="12"/>
      <c r="W172" s="112"/>
      <c r="X172" s="116" t="s">
        <v>265</v>
      </c>
    </row>
    <row r="173" spans="1:24" ht="12.75" hidden="1" outlineLevel="1">
      <c r="A173" s="60"/>
      <c r="B173" s="61"/>
      <c r="C173" s="64"/>
      <c r="D173" s="63"/>
      <c r="E173" s="44" t="s">
        <v>121</v>
      </c>
      <c r="F173" s="33">
        <v>10</v>
      </c>
      <c r="G173" s="42" t="s">
        <v>8</v>
      </c>
      <c r="H173" s="43">
        <v>4</v>
      </c>
      <c r="I173" s="43">
        <f>register250</f>
        <v>140.725</v>
      </c>
      <c r="J173" s="36">
        <f>IF(+I173+H173&gt;0,I173+(H173*labour),"")</f>
        <v>260.725</v>
      </c>
      <c r="K173" s="37">
        <f>+IF(F173="item",J173,IF(F173&lt;&gt;0,F173*J173,""))</f>
        <v>2607.25</v>
      </c>
      <c r="L173" s="31" t="s">
        <v>124</v>
      </c>
      <c r="M173" s="33">
        <f>+F173</f>
        <v>10</v>
      </c>
      <c r="N173" s="42" t="s">
        <v>8</v>
      </c>
      <c r="O173" s="36">
        <f>+I173</f>
        <v>140.725</v>
      </c>
      <c r="P173" s="37">
        <f>+IF(M173="item",O173,IF(M173&lt;&gt;0,M173*O173,""))</f>
        <v>1407.25</v>
      </c>
      <c r="Q173" s="54"/>
      <c r="S173" s="110"/>
      <c r="T173" s="114"/>
      <c r="U173" s="12"/>
      <c r="V173" s="12"/>
      <c r="W173" s="19"/>
      <c r="X173" s="111"/>
    </row>
    <row r="174" spans="1:24" ht="12.75" hidden="1" outlineLevel="1">
      <c r="A174" s="60"/>
      <c r="B174" s="61"/>
      <c r="C174" s="64"/>
      <c r="D174" s="63"/>
      <c r="E174" s="44"/>
      <c r="F174" s="33"/>
      <c r="G174" s="42"/>
      <c r="H174" s="43"/>
      <c r="I174" s="43"/>
      <c r="J174" s="36"/>
      <c r="K174" s="37">
        <f>+IF(F174="item",J174,IF(F174&lt;&gt;0,F174*J174,""))</f>
      </c>
      <c r="L174" s="31"/>
      <c r="M174" s="33"/>
      <c r="N174" s="42"/>
      <c r="O174" s="36"/>
      <c r="P174" s="37">
        <f>+IF(M174="item",O174,IF(M174&lt;&gt;0,M174*O174,""))</f>
      </c>
      <c r="Q174" s="54"/>
      <c r="S174" s="110"/>
      <c r="T174" s="12"/>
      <c r="U174" s="12"/>
      <c r="V174" s="12"/>
      <c r="W174" s="19"/>
      <c r="X174" s="111"/>
    </row>
    <row r="175" spans="1:24" ht="12.75" hidden="1" outlineLevel="1">
      <c r="A175" s="60"/>
      <c r="B175" s="61"/>
      <c r="C175" s="64"/>
      <c r="D175" s="63"/>
      <c r="E175" s="44" t="s">
        <v>125</v>
      </c>
      <c r="F175" s="33">
        <v>10</v>
      </c>
      <c r="G175" s="42" t="s">
        <v>8</v>
      </c>
      <c r="H175" s="43"/>
      <c r="I175" s="43"/>
      <c r="J175" s="36">
        <v>25</v>
      </c>
      <c r="K175" s="37">
        <f>+IF(F175="item",J175,IF(F175&lt;&gt;0,F175*J175,""))</f>
        <v>250</v>
      </c>
      <c r="L175" s="31"/>
      <c r="M175" s="33">
        <f>+M173</f>
        <v>10</v>
      </c>
      <c r="N175" s="42" t="s">
        <v>8</v>
      </c>
      <c r="O175" s="36">
        <f>+J175</f>
        <v>25</v>
      </c>
      <c r="P175" s="37">
        <f>+IF(M175="item",O175,IF(M175&lt;&gt;0,M175*O175,""))</f>
        <v>250</v>
      </c>
      <c r="Q175" s="54"/>
      <c r="S175" s="110"/>
      <c r="T175" s="114"/>
      <c r="U175" s="12"/>
      <c r="V175" s="12"/>
      <c r="W175" s="19"/>
      <c r="X175" s="111"/>
    </row>
    <row r="176" spans="1:24" ht="12.75" hidden="1" outlineLevel="1">
      <c r="A176" s="60"/>
      <c r="B176" s="61"/>
      <c r="C176" s="64"/>
      <c r="D176" s="63"/>
      <c r="E176" s="44"/>
      <c r="F176" s="33"/>
      <c r="G176" s="42"/>
      <c r="H176" s="43"/>
      <c r="I176" s="43"/>
      <c r="J176" s="36">
        <f>IF(+I176+H176&gt;0,I176+(H176*labour),"")</f>
      </c>
      <c r="K176" s="37">
        <f>+IF(F176="item",J176,IF(F176&lt;&gt;0,F176*J176,""))</f>
      </c>
      <c r="L176" s="31"/>
      <c r="M176" s="33"/>
      <c r="N176" s="42"/>
      <c r="O176" s="36"/>
      <c r="P176" s="37">
        <f>+IF(M176="item",O176,IF(M176&lt;&gt;0,M176*O176,""))</f>
      </c>
      <c r="Q176" s="54"/>
      <c r="S176" s="110"/>
      <c r="T176" s="12"/>
      <c r="U176" s="12"/>
      <c r="V176" s="12"/>
      <c r="W176" s="19"/>
      <c r="X176" s="111"/>
    </row>
    <row r="177" spans="1:24" ht="12.75" hidden="1" outlineLevel="1">
      <c r="A177" s="60"/>
      <c r="B177" s="61"/>
      <c r="C177" s="64"/>
      <c r="D177" s="63"/>
      <c r="E177" s="44" t="s">
        <v>7</v>
      </c>
      <c r="F177" s="33">
        <v>1</v>
      </c>
      <c r="G177" s="42" t="s">
        <v>8</v>
      </c>
      <c r="H177" s="43"/>
      <c r="I177" s="43"/>
      <c r="J177" s="36">
        <v>30</v>
      </c>
      <c r="K177" s="37">
        <f>+IF(F177="item",J177,IF(F177&lt;&gt;0,F177*J177,""))</f>
        <v>30</v>
      </c>
      <c r="L177" s="31"/>
      <c r="M177" s="33">
        <v>1</v>
      </c>
      <c r="N177" s="42" t="s">
        <v>8</v>
      </c>
      <c r="O177" s="36">
        <f>+J177</f>
        <v>30</v>
      </c>
      <c r="P177" s="37">
        <f>+IF(M177="item",O177,IF(M177&lt;&gt;0,M177*O177,""))</f>
        <v>30</v>
      </c>
      <c r="Q177" s="54"/>
      <c r="S177" s="110"/>
      <c r="T177" s="114"/>
      <c r="U177" s="12"/>
      <c r="V177" s="12"/>
      <c r="W177" s="19"/>
      <c r="X177" s="111"/>
    </row>
    <row r="178" spans="1:24" ht="12.75" hidden="1" outlineLevel="1">
      <c r="A178" s="60"/>
      <c r="B178" s="61"/>
      <c r="C178" s="64"/>
      <c r="D178" s="63"/>
      <c r="E178" s="44"/>
      <c r="F178" s="33"/>
      <c r="G178" s="42"/>
      <c r="H178" s="43"/>
      <c r="I178" s="43"/>
      <c r="J178" s="36"/>
      <c r="K178" s="37"/>
      <c r="L178" s="31"/>
      <c r="M178" s="33"/>
      <c r="N178" s="42"/>
      <c r="O178" s="36"/>
      <c r="P178" s="37"/>
      <c r="Q178" s="54"/>
      <c r="S178" s="110"/>
      <c r="T178" s="114"/>
      <c r="U178" s="12"/>
      <c r="V178" s="12"/>
      <c r="W178" s="19"/>
      <c r="X178" s="111"/>
    </row>
    <row r="179" spans="1:24" ht="12.75" hidden="1" outlineLevel="1">
      <c r="A179" s="60"/>
      <c r="B179" s="61"/>
      <c r="C179" s="64"/>
      <c r="D179" s="63"/>
      <c r="E179" s="38" t="s">
        <v>362</v>
      </c>
      <c r="F179" s="33">
        <v>10</v>
      </c>
      <c r="G179" s="34" t="s">
        <v>363</v>
      </c>
      <c r="H179" s="39"/>
      <c r="I179" s="39"/>
      <c r="J179" s="36">
        <f>SUM(K173:K178)</f>
        <v>2887.25</v>
      </c>
      <c r="K179" s="37">
        <f>+J179*F179%</f>
        <v>288.725</v>
      </c>
      <c r="L179" s="31"/>
      <c r="M179" s="33"/>
      <c r="N179" s="42"/>
      <c r="O179" s="36"/>
      <c r="P179" s="37"/>
      <c r="Q179" s="54"/>
      <c r="S179" s="110"/>
      <c r="T179" s="114"/>
      <c r="U179" s="12"/>
      <c r="V179" s="12"/>
      <c r="W179" s="19"/>
      <c r="X179" s="111"/>
    </row>
    <row r="180" spans="1:24" ht="12.75" collapsed="1">
      <c r="A180" s="60"/>
      <c r="B180" s="61"/>
      <c r="C180" s="64"/>
      <c r="D180" s="63"/>
      <c r="E180" s="44"/>
      <c r="F180" s="33"/>
      <c r="G180" s="42"/>
      <c r="H180" s="43"/>
      <c r="I180" s="43"/>
      <c r="J180" s="36">
        <f>IF(+I180+H180&gt;0,I180+(H180*labour),"")</f>
      </c>
      <c r="K180" s="37">
        <f>+IF(F180="item",J180,IF(F180&lt;&gt;0,F180*J180,""))</f>
      </c>
      <c r="L180" s="31"/>
      <c r="M180" s="33"/>
      <c r="N180" s="42"/>
      <c r="O180" s="36"/>
      <c r="P180" s="37">
        <f>+IF(M180="item",O180,IF(M180&lt;&gt;0,M180*O180,""))</f>
      </c>
      <c r="Q180" s="54"/>
      <c r="S180" s="110"/>
      <c r="T180" s="12"/>
      <c r="U180" s="12"/>
      <c r="V180" s="12"/>
      <c r="W180" s="19"/>
      <c r="X180" s="111"/>
    </row>
    <row r="181" spans="1:24" ht="25.5">
      <c r="A181" s="60"/>
      <c r="B181" s="61"/>
      <c r="C181" s="64"/>
      <c r="D181" s="63"/>
      <c r="E181" s="139" t="s">
        <v>126</v>
      </c>
      <c r="F181" s="72"/>
      <c r="G181" s="73"/>
      <c r="H181" s="140"/>
      <c r="I181" s="140"/>
      <c r="J181" s="74">
        <f>IF(+I181+H181&gt;0,I181+(H181*labour),"")</f>
      </c>
      <c r="K181" s="165"/>
      <c r="L181" s="141" t="s">
        <v>406</v>
      </c>
      <c r="M181" s="72"/>
      <c r="N181" s="73"/>
      <c r="O181" s="74"/>
      <c r="P181" s="75">
        <f>+IF(M181="item",O181,IF(M181&lt;&gt;0,M181*O181,""))</f>
      </c>
      <c r="Q181" s="76"/>
      <c r="S181" s="110"/>
      <c r="T181" s="12"/>
      <c r="U181" s="12"/>
      <c r="V181" s="12"/>
      <c r="W181" s="112" t="e">
        <f>SUM(W183:W191)</f>
        <v>#VALUE!</v>
      </c>
      <c r="X181" s="111"/>
    </row>
    <row r="182" spans="1:24" ht="12.75">
      <c r="A182" s="60"/>
      <c r="B182" s="61"/>
      <c r="C182" s="64"/>
      <c r="D182" s="63"/>
      <c r="E182" s="77"/>
      <c r="F182" s="33"/>
      <c r="G182" s="42"/>
      <c r="H182" s="43"/>
      <c r="I182" s="43"/>
      <c r="J182" s="36"/>
      <c r="K182" s="53"/>
      <c r="L182" s="31"/>
      <c r="M182" s="72"/>
      <c r="N182" s="73"/>
      <c r="O182" s="74"/>
      <c r="P182" s="75"/>
      <c r="Q182" s="76"/>
      <c r="S182" s="110"/>
      <c r="T182" s="12"/>
      <c r="U182" s="12"/>
      <c r="V182" s="12"/>
      <c r="W182" s="112"/>
      <c r="X182" s="111"/>
    </row>
    <row r="183" spans="1:24" ht="12.75" hidden="1" outlineLevel="1">
      <c r="A183" s="60"/>
      <c r="B183" s="61"/>
      <c r="C183" s="64"/>
      <c r="D183" s="63"/>
      <c r="E183" s="44" t="s">
        <v>127</v>
      </c>
      <c r="F183" s="33"/>
      <c r="G183" s="42"/>
      <c r="H183" s="43">
        <v>4</v>
      </c>
      <c r="I183" s="43">
        <v>50</v>
      </c>
      <c r="J183" s="36">
        <f>IF(+I183+H183&gt;0,I183+(H183*labour),"")</f>
        <v>170</v>
      </c>
      <c r="K183" s="37">
        <f aca="true" t="shared" si="19" ref="K183:K191">+IF(F183="item",J183,IF(F183&lt;&gt;0,F183*J183,""))</f>
      </c>
      <c r="L183" s="31"/>
      <c r="M183" s="72"/>
      <c r="N183" s="73"/>
      <c r="O183" s="74"/>
      <c r="P183" s="75">
        <f aca="true" t="shared" si="20" ref="P183:P191">+IF(M183="item",O183,IF(M183&lt;&gt;0,M183*O183,""))</f>
      </c>
      <c r="Q183" s="76"/>
      <c r="S183" s="110" t="str">
        <f>+E183</f>
        <v>Sheepswool packed under skirtings</v>
      </c>
      <c r="T183" s="114">
        <f>+K183</f>
      </c>
      <c r="U183" s="12"/>
      <c r="V183" s="12">
        <v>60</v>
      </c>
      <c r="W183" s="19" t="e">
        <f>ROUND(+IF(V183&gt;0,T183/V183,""),2)</f>
        <v>#VALUE!</v>
      </c>
      <c r="X183" s="111"/>
    </row>
    <row r="184" spans="1:24" ht="12.75" hidden="1" outlineLevel="1">
      <c r="A184" s="60"/>
      <c r="B184" s="61"/>
      <c r="C184" s="64"/>
      <c r="D184" s="63"/>
      <c r="E184" s="44"/>
      <c r="F184" s="33"/>
      <c r="G184" s="42"/>
      <c r="H184" s="43"/>
      <c r="I184" s="43"/>
      <c r="J184" s="36">
        <f>IF(+I184+H184&gt;0,I184+(H184*labour),"")</f>
      </c>
      <c r="K184" s="37">
        <f t="shared" si="19"/>
      </c>
      <c r="L184" s="31"/>
      <c r="M184" s="72"/>
      <c r="N184" s="73"/>
      <c r="O184" s="74"/>
      <c r="P184" s="75">
        <f t="shared" si="20"/>
      </c>
      <c r="Q184" s="76"/>
      <c r="S184" s="110"/>
      <c r="T184" s="12"/>
      <c r="U184" s="12"/>
      <c r="V184" s="12"/>
      <c r="W184" s="19"/>
      <c r="X184" s="111"/>
    </row>
    <row r="185" spans="1:24" ht="12.75" hidden="1" outlineLevel="1">
      <c r="A185" s="60"/>
      <c r="B185" s="61"/>
      <c r="C185" s="64"/>
      <c r="D185" s="63"/>
      <c r="E185" s="44" t="s">
        <v>128</v>
      </c>
      <c r="F185" s="33"/>
      <c r="G185" s="42" t="s">
        <v>35</v>
      </c>
      <c r="H185" s="43">
        <v>0.1</v>
      </c>
      <c r="I185" s="43">
        <f>hardboard</f>
        <v>2.9904</v>
      </c>
      <c r="J185" s="36">
        <f>IF(+I185+H185&gt;0,I185+(H185*labour),"")</f>
        <v>5.9904</v>
      </c>
      <c r="K185" s="37">
        <f t="shared" si="19"/>
      </c>
      <c r="L185" s="31"/>
      <c r="M185" s="72"/>
      <c r="N185" s="73"/>
      <c r="O185" s="74"/>
      <c r="P185" s="75">
        <f t="shared" si="20"/>
      </c>
      <c r="Q185" s="76"/>
      <c r="S185" s="110" t="str">
        <f>+E185</f>
        <v>Tempered hardboard to boards</v>
      </c>
      <c r="T185" s="114">
        <f>+K185</f>
      </c>
      <c r="U185" s="12"/>
      <c r="V185" s="12">
        <v>60</v>
      </c>
      <c r="W185" s="19" t="e">
        <f>ROUND(+IF(V185&gt;0,T185/V185,""),2)</f>
        <v>#VALUE!</v>
      </c>
      <c r="X185" s="111"/>
    </row>
    <row r="186" spans="1:24" ht="12.75" hidden="1" outlineLevel="1">
      <c r="A186" s="60"/>
      <c r="B186" s="61"/>
      <c r="C186" s="64"/>
      <c r="D186" s="63"/>
      <c r="E186" s="44"/>
      <c r="F186" s="33"/>
      <c r="G186" s="42"/>
      <c r="H186" s="43"/>
      <c r="I186" s="43"/>
      <c r="J186" s="36">
        <f>IF(+I186+H186&gt;0,I186+(H186*labour),"")</f>
      </c>
      <c r="K186" s="37">
        <f t="shared" si="19"/>
      </c>
      <c r="L186" s="31"/>
      <c r="M186" s="72"/>
      <c r="N186" s="73"/>
      <c r="O186" s="74"/>
      <c r="P186" s="75">
        <f t="shared" si="20"/>
      </c>
      <c r="Q186" s="76"/>
      <c r="S186" s="110"/>
      <c r="T186" s="12"/>
      <c r="U186" s="12"/>
      <c r="V186" s="12"/>
      <c r="W186" s="19"/>
      <c r="X186" s="111"/>
    </row>
    <row r="187" spans="1:24" ht="12.75" hidden="1" outlineLevel="1">
      <c r="A187" s="60"/>
      <c r="B187" s="61"/>
      <c r="C187" s="64"/>
      <c r="D187" s="63"/>
      <c r="E187" s="44" t="s">
        <v>125</v>
      </c>
      <c r="F187" s="33"/>
      <c r="G187" s="42"/>
      <c r="H187" s="43"/>
      <c r="I187" s="43"/>
      <c r="J187" s="36">
        <v>50</v>
      </c>
      <c r="K187" s="37">
        <f t="shared" si="19"/>
      </c>
      <c r="L187" s="31"/>
      <c r="M187" s="72"/>
      <c r="N187" s="73"/>
      <c r="O187" s="74"/>
      <c r="P187" s="75">
        <f t="shared" si="20"/>
      </c>
      <c r="Q187" s="76"/>
      <c r="S187" s="110" t="str">
        <f>+E187</f>
        <v>Sundry materials/plant</v>
      </c>
      <c r="T187" s="114">
        <f>+K187</f>
      </c>
      <c r="U187" s="12"/>
      <c r="V187" s="12">
        <v>60</v>
      </c>
      <c r="W187" s="19" t="e">
        <f>ROUND(+IF(V187&gt;0,T187/V187,""),2)</f>
        <v>#VALUE!</v>
      </c>
      <c r="X187" s="111"/>
    </row>
    <row r="188" spans="1:24" ht="12.75" hidden="1" outlineLevel="1">
      <c r="A188" s="60"/>
      <c r="B188" s="61"/>
      <c r="C188" s="64"/>
      <c r="D188" s="63"/>
      <c r="E188" s="44"/>
      <c r="F188" s="33"/>
      <c r="G188" s="42"/>
      <c r="H188" s="43"/>
      <c r="I188" s="43"/>
      <c r="J188" s="36">
        <f>IF(+I188+H188&gt;0,I188+(H188*labour),"")</f>
      </c>
      <c r="K188" s="37">
        <f t="shared" si="19"/>
      </c>
      <c r="L188" s="31"/>
      <c r="M188" s="72"/>
      <c r="N188" s="73"/>
      <c r="O188" s="74"/>
      <c r="P188" s="75">
        <f t="shared" si="20"/>
      </c>
      <c r="Q188" s="76"/>
      <c r="S188" s="110"/>
      <c r="T188" s="12"/>
      <c r="U188" s="12"/>
      <c r="V188" s="12"/>
      <c r="W188" s="19"/>
      <c r="X188" s="111"/>
    </row>
    <row r="189" spans="1:24" ht="12.75" hidden="1" outlineLevel="1">
      <c r="A189" s="60"/>
      <c r="B189" s="61"/>
      <c r="C189" s="64"/>
      <c r="D189" s="63"/>
      <c r="E189" s="44" t="s">
        <v>131</v>
      </c>
      <c r="F189" s="33"/>
      <c r="G189" s="42" t="s">
        <v>35</v>
      </c>
      <c r="H189" s="43"/>
      <c r="I189" s="43"/>
      <c r="J189" s="36">
        <f>+J80</f>
        <v>0</v>
      </c>
      <c r="K189" s="37">
        <f t="shared" si="19"/>
      </c>
      <c r="L189" s="31"/>
      <c r="M189" s="72"/>
      <c r="N189" s="73"/>
      <c r="O189" s="74"/>
      <c r="P189" s="75">
        <f t="shared" si="20"/>
      </c>
      <c r="Q189" s="76"/>
      <c r="S189" s="110" t="str">
        <f>+E189</f>
        <v>Lifting/ relaying carpet</v>
      </c>
      <c r="T189" s="114">
        <f>+K189</f>
      </c>
      <c r="U189" s="12"/>
      <c r="V189" s="12">
        <v>60</v>
      </c>
      <c r="W189" s="19" t="e">
        <f>ROUND(+IF(V189&gt;0,T189/V189,""),2)</f>
        <v>#VALUE!</v>
      </c>
      <c r="X189" s="111"/>
    </row>
    <row r="190" spans="1:24" ht="12.75" hidden="1" outlineLevel="1">
      <c r="A190" s="60"/>
      <c r="B190" s="61"/>
      <c r="C190" s="64"/>
      <c r="D190" s="63"/>
      <c r="E190" s="44"/>
      <c r="F190" s="33"/>
      <c r="G190" s="42"/>
      <c r="H190" s="43"/>
      <c r="I190" s="43"/>
      <c r="J190" s="36">
        <f>IF(+I190+H190&gt;0,I190+(H190*labour),"")</f>
      </c>
      <c r="K190" s="37">
        <f t="shared" si="19"/>
      </c>
      <c r="L190" s="31"/>
      <c r="M190" s="72"/>
      <c r="N190" s="73"/>
      <c r="O190" s="74"/>
      <c r="P190" s="75">
        <f t="shared" si="20"/>
      </c>
      <c r="Q190" s="76"/>
      <c r="S190" s="110"/>
      <c r="T190" s="12"/>
      <c r="U190" s="12"/>
      <c r="V190" s="12"/>
      <c r="W190" s="19"/>
      <c r="X190" s="111"/>
    </row>
    <row r="191" spans="1:24" ht="12.75" hidden="1" outlineLevel="1">
      <c r="A191" s="60"/>
      <c r="B191" s="61"/>
      <c r="C191" s="64"/>
      <c r="D191" s="63"/>
      <c r="E191" s="44" t="s">
        <v>132</v>
      </c>
      <c r="F191" s="33"/>
      <c r="G191" s="42" t="s">
        <v>108</v>
      </c>
      <c r="H191" s="43"/>
      <c r="I191" s="138">
        <f>+I83</f>
        <v>0.5</v>
      </c>
      <c r="J191" s="36">
        <f>IF(+I191+H191&gt;0,I191+(H191*labour),"")</f>
        <v>0.5</v>
      </c>
      <c r="K191" s="37">
        <f t="shared" si="19"/>
      </c>
      <c r="L191" s="31"/>
      <c r="M191" s="72"/>
      <c r="N191" s="73"/>
      <c r="O191" s="74"/>
      <c r="P191" s="75">
        <f t="shared" si="20"/>
      </c>
      <c r="Q191" s="76"/>
      <c r="S191" s="110" t="str">
        <f>+E191</f>
        <v>Grippers</v>
      </c>
      <c r="T191" s="114">
        <f>+K191</f>
      </c>
      <c r="U191" s="12"/>
      <c r="V191" s="12">
        <v>60</v>
      </c>
      <c r="W191" s="19" t="e">
        <f>ROUND(+IF(V191&gt;0,T191/V191,""),2)</f>
        <v>#VALUE!</v>
      </c>
      <c r="X191" s="111"/>
    </row>
    <row r="192" spans="1:24" ht="12.75" hidden="1" outlineLevel="1">
      <c r="A192" s="60"/>
      <c r="B192" s="61"/>
      <c r="C192" s="64"/>
      <c r="D192" s="63"/>
      <c r="E192" s="44"/>
      <c r="F192" s="33"/>
      <c r="G192" s="42"/>
      <c r="H192" s="43"/>
      <c r="I192" s="138"/>
      <c r="J192" s="36"/>
      <c r="K192" s="37"/>
      <c r="L192" s="31"/>
      <c r="M192" s="72"/>
      <c r="N192" s="73"/>
      <c r="O192" s="74"/>
      <c r="P192" s="75"/>
      <c r="Q192" s="76"/>
      <c r="S192" s="110"/>
      <c r="T192" s="114"/>
      <c r="U192" s="12"/>
      <c r="V192" s="12"/>
      <c r="W192" s="19"/>
      <c r="X192" s="111"/>
    </row>
    <row r="193" spans="1:24" ht="12.75" hidden="1" outlineLevel="1">
      <c r="A193" s="60"/>
      <c r="B193" s="61"/>
      <c r="C193" s="64"/>
      <c r="D193" s="63"/>
      <c r="E193" s="38" t="s">
        <v>362</v>
      </c>
      <c r="F193" s="33"/>
      <c r="G193" s="34" t="s">
        <v>363</v>
      </c>
      <c r="H193" s="39"/>
      <c r="I193" s="39"/>
      <c r="J193" s="36">
        <f>SUM(K183:K191)</f>
        <v>0</v>
      </c>
      <c r="K193" s="37">
        <f>+J193*F193%</f>
        <v>0</v>
      </c>
      <c r="L193" s="31"/>
      <c r="M193" s="72"/>
      <c r="N193" s="73"/>
      <c r="O193" s="74"/>
      <c r="P193" s="75"/>
      <c r="Q193" s="76"/>
      <c r="S193" s="110"/>
      <c r="T193" s="114"/>
      <c r="U193" s="12"/>
      <c r="V193" s="12"/>
      <c r="W193" s="19"/>
      <c r="X193" s="111"/>
    </row>
    <row r="194" spans="1:24" ht="12.75" collapsed="1">
      <c r="A194" s="60"/>
      <c r="B194" s="61"/>
      <c r="C194" s="64"/>
      <c r="D194" s="63"/>
      <c r="E194" s="44"/>
      <c r="F194" s="33"/>
      <c r="G194" s="42"/>
      <c r="H194" s="43"/>
      <c r="I194" s="43"/>
      <c r="J194" s="36">
        <f>IF(+I194+H194&gt;0,I194+(H194*labour),"")</f>
      </c>
      <c r="K194" s="37">
        <f>+IF(F194="item",J194,IF(F194&lt;&gt;0,F194*J194,""))</f>
      </c>
      <c r="L194" s="31"/>
      <c r="M194" s="33"/>
      <c r="N194" s="42"/>
      <c r="O194" s="36"/>
      <c r="P194" s="37">
        <f>+IF(M194="item",O194,IF(M194&lt;&gt;0,M194*O194,""))</f>
      </c>
      <c r="Q194" s="54"/>
      <c r="S194" s="110"/>
      <c r="T194" s="12"/>
      <c r="U194" s="12"/>
      <c r="V194" s="12"/>
      <c r="W194" s="19"/>
      <c r="X194" s="111"/>
    </row>
    <row r="195" spans="1:24" s="151" customFormat="1" ht="25.5" customHeight="1">
      <c r="A195" s="143"/>
      <c r="B195" s="144"/>
      <c r="C195" s="86"/>
      <c r="D195" s="87"/>
      <c r="E195" s="77" t="s">
        <v>428</v>
      </c>
      <c r="F195" s="45"/>
      <c r="G195" s="42"/>
      <c r="H195" s="43"/>
      <c r="I195" s="43"/>
      <c r="J195" s="147">
        <f>IF(+I195+H195&gt;0,I195+(H195*labour),"")</f>
      </c>
      <c r="K195" s="169">
        <f>SUM(K197:K211)</f>
        <v>5081.666666666668</v>
      </c>
      <c r="L195" s="149"/>
      <c r="M195" s="45"/>
      <c r="N195" s="42"/>
      <c r="O195" s="147"/>
      <c r="P195" s="148">
        <f>+IF(M195="item",O195,IF(M195&lt;&gt;0,M195*O195,""))</f>
      </c>
      <c r="Q195" s="150"/>
      <c r="S195" s="152"/>
      <c r="T195" s="153"/>
      <c r="U195" s="153"/>
      <c r="V195" s="153"/>
      <c r="W195" s="154"/>
      <c r="X195" s="167"/>
    </row>
    <row r="196" spans="1:24" ht="12.75" hidden="1" outlineLevel="1">
      <c r="A196" s="60"/>
      <c r="B196" s="61"/>
      <c r="C196" s="64"/>
      <c r="D196" s="63"/>
      <c r="E196" s="44"/>
      <c r="F196" s="33"/>
      <c r="G196" s="42"/>
      <c r="H196" s="43"/>
      <c r="I196" s="43"/>
      <c r="J196" s="36">
        <f>IF(+I196+H196&gt;0,I196+(H196*labour),"")</f>
      </c>
      <c r="K196" s="37">
        <f>+IF(F196="item",J196,IF(F196&lt;&gt;0,F196*J196,""))</f>
      </c>
      <c r="L196" s="31"/>
      <c r="M196" s="33"/>
      <c r="N196" s="42"/>
      <c r="O196" s="36"/>
      <c r="P196" s="37">
        <f>+IF(M196="item",O196,IF(M196&lt;&gt;0,M196*O196,""))</f>
      </c>
      <c r="Q196" s="54"/>
      <c r="S196" s="110"/>
      <c r="T196" s="12"/>
      <c r="U196" s="12"/>
      <c r="V196" s="12"/>
      <c r="W196" s="19"/>
      <c r="X196" s="111"/>
    </row>
    <row r="197" spans="1:24" ht="12.75" hidden="1" outlineLevel="1">
      <c r="A197" s="60"/>
      <c r="B197" s="61"/>
      <c r="C197" s="64"/>
      <c r="D197" s="63"/>
      <c r="E197" s="44" t="s">
        <v>429</v>
      </c>
      <c r="F197" s="33"/>
      <c r="G197" s="42"/>
      <c r="H197" s="43"/>
      <c r="I197" s="43"/>
      <c r="J197" s="36">
        <v>650</v>
      </c>
      <c r="K197" s="37">
        <f>+J197</f>
        <v>650</v>
      </c>
      <c r="L197" s="31" t="s">
        <v>430</v>
      </c>
      <c r="M197" s="33"/>
      <c r="N197" s="42"/>
      <c r="O197" s="36"/>
      <c r="P197" s="37"/>
      <c r="Q197" s="54"/>
      <c r="S197" s="110"/>
      <c r="T197" s="12"/>
      <c r="U197" s="12"/>
      <c r="V197" s="12"/>
      <c r="W197" s="19"/>
      <c r="X197" s="111"/>
    </row>
    <row r="198" spans="1:24" ht="12.75" hidden="1" outlineLevel="1">
      <c r="A198" s="60"/>
      <c r="B198" s="61"/>
      <c r="C198" s="64"/>
      <c r="D198" s="63"/>
      <c r="E198" s="44"/>
      <c r="F198" s="33"/>
      <c r="G198" s="42"/>
      <c r="H198" s="43"/>
      <c r="I198" s="43"/>
      <c r="J198" s="36"/>
      <c r="K198" s="37"/>
      <c r="L198" s="31"/>
      <c r="M198" s="33"/>
      <c r="N198" s="42"/>
      <c r="O198" s="36"/>
      <c r="P198" s="37"/>
      <c r="Q198" s="54"/>
      <c r="S198" s="110"/>
      <c r="T198" s="12"/>
      <c r="U198" s="12"/>
      <c r="V198" s="12"/>
      <c r="W198" s="19"/>
      <c r="X198" s="111"/>
    </row>
    <row r="199" spans="1:24" ht="12.75" hidden="1" outlineLevel="1">
      <c r="A199" s="60"/>
      <c r="B199" s="61"/>
      <c r="C199" s="64"/>
      <c r="D199" s="63"/>
      <c r="E199" s="44" t="s">
        <v>431</v>
      </c>
      <c r="F199" s="33">
        <f>+ROUND(D207,0)</f>
        <v>40</v>
      </c>
      <c r="G199" s="42" t="s">
        <v>215</v>
      </c>
      <c r="H199" s="43"/>
      <c r="I199" s="43"/>
      <c r="J199" s="36">
        <f>+polybeadbulk</f>
        <v>94.79166666666669</v>
      </c>
      <c r="K199" s="37">
        <f>+IF(F199="item",J199,IF(F199&lt;&gt;0,F199*J199,""))</f>
        <v>3791.6666666666674</v>
      </c>
      <c r="L199" s="31" t="s">
        <v>432</v>
      </c>
      <c r="M199" s="33"/>
      <c r="N199" s="42"/>
      <c r="O199" s="36"/>
      <c r="P199" s="37"/>
      <c r="Q199" s="54"/>
      <c r="S199" s="110"/>
      <c r="T199" s="12"/>
      <c r="U199" s="12"/>
      <c r="V199" s="12"/>
      <c r="W199" s="19"/>
      <c r="X199" s="111"/>
    </row>
    <row r="200" spans="1:24" ht="12.75" hidden="1" outlineLevel="1">
      <c r="A200" s="60"/>
      <c r="B200" s="61">
        <v>4</v>
      </c>
      <c r="C200" s="64">
        <v>9</v>
      </c>
      <c r="D200" s="63"/>
      <c r="E200" s="44"/>
      <c r="F200" s="33"/>
      <c r="G200" s="42"/>
      <c r="H200" s="43"/>
      <c r="I200" s="43"/>
      <c r="J200" s="36"/>
      <c r="K200" s="37"/>
      <c r="L200" s="31"/>
      <c r="M200" s="33"/>
      <c r="N200" s="42"/>
      <c r="O200" s="36"/>
      <c r="P200" s="37"/>
      <c r="Q200" s="54"/>
      <c r="S200" s="110"/>
      <c r="T200" s="12"/>
      <c r="U200" s="12"/>
      <c r="V200" s="12"/>
      <c r="W200" s="19"/>
      <c r="X200" s="111"/>
    </row>
    <row r="201" spans="1:24" ht="12.75" hidden="1" outlineLevel="1">
      <c r="A201" s="60"/>
      <c r="B201" s="61"/>
      <c r="C201" s="64">
        <v>5.5</v>
      </c>
      <c r="D201" s="63"/>
      <c r="E201" s="44"/>
      <c r="F201" s="33"/>
      <c r="G201" s="42"/>
      <c r="H201" s="43"/>
      <c r="I201" s="43"/>
      <c r="J201" s="36"/>
      <c r="K201" s="37"/>
      <c r="L201" s="31"/>
      <c r="M201" s="33"/>
      <c r="N201" s="42"/>
      <c r="O201" s="36"/>
      <c r="P201" s="37"/>
      <c r="Q201" s="54"/>
      <c r="S201" s="110"/>
      <c r="T201" s="12"/>
      <c r="U201" s="12"/>
      <c r="V201" s="12"/>
      <c r="W201" s="19"/>
      <c r="X201" s="111"/>
    </row>
    <row r="202" spans="1:24" ht="12.75" hidden="1" outlineLevel="1">
      <c r="A202" s="60"/>
      <c r="B202" s="61"/>
      <c r="C202" s="135">
        <v>0.23</v>
      </c>
      <c r="D202" s="63">
        <f>+C202*C201*C200*B200</f>
        <v>45.540000000000006</v>
      </c>
      <c r="E202" s="44"/>
      <c r="F202" s="33"/>
      <c r="G202" s="42"/>
      <c r="H202" s="43"/>
      <c r="I202" s="43"/>
      <c r="J202" s="36"/>
      <c r="K202" s="37"/>
      <c r="L202" s="31"/>
      <c r="M202" s="33"/>
      <c r="N202" s="42"/>
      <c r="O202" s="36"/>
      <c r="P202" s="37"/>
      <c r="Q202" s="54"/>
      <c r="S202" s="110"/>
      <c r="T202" s="12"/>
      <c r="U202" s="12"/>
      <c r="V202" s="12"/>
      <c r="W202" s="19"/>
      <c r="X202" s="111"/>
    </row>
    <row r="203" spans="1:24" ht="12.75" hidden="1" outlineLevel="1">
      <c r="A203" s="60">
        <v>-4</v>
      </c>
      <c r="B203" s="61">
        <v>20</v>
      </c>
      <c r="C203" s="64">
        <v>5.5</v>
      </c>
      <c r="D203" s="63"/>
      <c r="E203" s="44"/>
      <c r="F203" s="33"/>
      <c r="G203" s="42"/>
      <c r="H203" s="43"/>
      <c r="I203" s="43"/>
      <c r="J203" s="36"/>
      <c r="K203" s="37"/>
      <c r="L203" s="31"/>
      <c r="M203" s="33"/>
      <c r="N203" s="42"/>
      <c r="O203" s="36"/>
      <c r="P203" s="37"/>
      <c r="Q203" s="54"/>
      <c r="S203" s="110"/>
      <c r="T203" s="12"/>
      <c r="U203" s="12"/>
      <c r="V203" s="12"/>
      <c r="W203" s="19"/>
      <c r="X203" s="111"/>
    </row>
    <row r="204" spans="1:24" ht="12.75" hidden="1" outlineLevel="1">
      <c r="A204" s="60"/>
      <c r="B204" s="61"/>
      <c r="C204" s="64">
        <v>0.05</v>
      </c>
      <c r="D204" s="63"/>
      <c r="E204" s="44"/>
      <c r="F204" s="33"/>
      <c r="G204" s="42"/>
      <c r="H204" s="43"/>
      <c r="I204" s="43"/>
      <c r="J204" s="36"/>
      <c r="K204" s="37"/>
      <c r="L204" s="31"/>
      <c r="M204" s="33"/>
      <c r="N204" s="42"/>
      <c r="O204" s="36"/>
      <c r="P204" s="37"/>
      <c r="Q204" s="54"/>
      <c r="S204" s="110"/>
      <c r="T204" s="12"/>
      <c r="U204" s="12"/>
      <c r="V204" s="12"/>
      <c r="W204" s="19"/>
      <c r="X204" s="111"/>
    </row>
    <row r="205" spans="1:24" ht="12.75" hidden="1" outlineLevel="1">
      <c r="A205" s="60"/>
      <c r="B205" s="61"/>
      <c r="C205" s="135">
        <v>0.23</v>
      </c>
      <c r="D205" s="63">
        <f>+C205*C204*C203*B203*A203</f>
        <v>-5.060000000000001</v>
      </c>
      <c r="E205" s="44"/>
      <c r="F205" s="33"/>
      <c r="G205" s="42"/>
      <c r="H205" s="43"/>
      <c r="I205" s="43"/>
      <c r="J205" s="36"/>
      <c r="K205" s="37"/>
      <c r="L205" s="31"/>
      <c r="M205" s="33"/>
      <c r="N205" s="42"/>
      <c r="O205" s="36"/>
      <c r="P205" s="37"/>
      <c r="Q205" s="54"/>
      <c r="S205" s="110"/>
      <c r="T205" s="12"/>
      <c r="U205" s="12"/>
      <c r="V205" s="12"/>
      <c r="W205" s="19"/>
      <c r="X205" s="111"/>
    </row>
    <row r="206" spans="1:24" ht="12.75" hidden="1" outlineLevel="1">
      <c r="A206" s="60"/>
      <c r="B206" s="61"/>
      <c r="C206" s="64"/>
      <c r="D206" s="65"/>
      <c r="E206" s="44"/>
      <c r="F206" s="33"/>
      <c r="G206" s="42"/>
      <c r="H206" s="43"/>
      <c r="I206" s="43"/>
      <c r="J206" s="36"/>
      <c r="K206" s="37"/>
      <c r="L206" s="31"/>
      <c r="M206" s="33"/>
      <c r="N206" s="42"/>
      <c r="O206" s="36"/>
      <c r="P206" s="37"/>
      <c r="Q206" s="54"/>
      <c r="S206" s="110"/>
      <c r="T206" s="12"/>
      <c r="U206" s="12"/>
      <c r="V206" s="12"/>
      <c r="W206" s="19"/>
      <c r="X206" s="111"/>
    </row>
    <row r="207" spans="1:24" ht="12.75" hidden="1" outlineLevel="1">
      <c r="A207" s="60"/>
      <c r="B207" s="61"/>
      <c r="C207" s="64"/>
      <c r="D207" s="65">
        <f>SUM(D202:D206)</f>
        <v>40.480000000000004</v>
      </c>
      <c r="E207" s="44"/>
      <c r="F207" s="33"/>
      <c r="G207" s="42"/>
      <c r="H207" s="43"/>
      <c r="I207" s="43"/>
      <c r="J207" s="36"/>
      <c r="K207" s="37"/>
      <c r="L207" s="31"/>
      <c r="M207" s="33"/>
      <c r="N207" s="42"/>
      <c r="O207" s="36"/>
      <c r="P207" s="37"/>
      <c r="Q207" s="54"/>
      <c r="S207" s="110"/>
      <c r="T207" s="12"/>
      <c r="U207" s="12"/>
      <c r="V207" s="12"/>
      <c r="W207" s="19"/>
      <c r="X207" s="111"/>
    </row>
    <row r="208" spans="1:24" ht="12.75" hidden="1" outlineLevel="1">
      <c r="A208" s="60"/>
      <c r="B208" s="61"/>
      <c r="C208" s="64"/>
      <c r="D208" s="65"/>
      <c r="E208" s="44"/>
      <c r="F208" s="33"/>
      <c r="G208" s="42"/>
      <c r="H208" s="43"/>
      <c r="I208" s="43"/>
      <c r="J208" s="36"/>
      <c r="K208" s="37"/>
      <c r="L208" s="31"/>
      <c r="M208" s="33"/>
      <c r="N208" s="42"/>
      <c r="O208" s="36"/>
      <c r="P208" s="37"/>
      <c r="Q208" s="54"/>
      <c r="S208" s="110"/>
      <c r="T208" s="12"/>
      <c r="U208" s="12"/>
      <c r="V208" s="12"/>
      <c r="W208" s="19"/>
      <c r="X208" s="111"/>
    </row>
    <row r="209" spans="1:24" ht="12.75" hidden="1" outlineLevel="1">
      <c r="A209" s="60"/>
      <c r="B209" s="61"/>
      <c r="C209" s="64"/>
      <c r="D209" s="65"/>
      <c r="E209" s="44"/>
      <c r="F209" s="33"/>
      <c r="G209" s="42"/>
      <c r="H209" s="43"/>
      <c r="I209" s="43"/>
      <c r="J209" s="36"/>
      <c r="K209" s="37"/>
      <c r="L209" s="31"/>
      <c r="M209" s="33"/>
      <c r="N209" s="42"/>
      <c r="O209" s="36"/>
      <c r="P209" s="37"/>
      <c r="Q209" s="54"/>
      <c r="S209" s="110"/>
      <c r="T209" s="12"/>
      <c r="U209" s="12"/>
      <c r="V209" s="12"/>
      <c r="W209" s="19"/>
      <c r="X209" s="111"/>
    </row>
    <row r="210" spans="1:24" s="200" customFormat="1" ht="25.5" hidden="1" outlineLevel="1">
      <c r="A210" s="191"/>
      <c r="B210" s="192"/>
      <c r="C210" s="209"/>
      <c r="D210" s="194"/>
      <c r="E210" s="210" t="s">
        <v>435</v>
      </c>
      <c r="F210" s="14">
        <v>80</v>
      </c>
      <c r="G210" s="196" t="s">
        <v>8</v>
      </c>
      <c r="H210" s="197">
        <v>0.2</v>
      </c>
      <c r="I210" s="197">
        <v>2</v>
      </c>
      <c r="J210" s="198">
        <f>IF(+I210+H210&gt;0,I210+(H210*labour),"")</f>
        <v>8</v>
      </c>
      <c r="K210" s="199">
        <f>+IF(F210="item",J210,IF(F210&lt;&gt;0,F210*J210,""))</f>
        <v>640</v>
      </c>
      <c r="L210" s="31"/>
      <c r="M210" s="14"/>
      <c r="N210" s="196"/>
      <c r="O210" s="198"/>
      <c r="P210" s="199"/>
      <c r="Q210" s="54"/>
      <c r="S210" s="211"/>
      <c r="T210" s="206"/>
      <c r="U210" s="206"/>
      <c r="V210" s="206"/>
      <c r="W210" s="198"/>
      <c r="X210" s="207"/>
    </row>
    <row r="211" spans="1:24" ht="12.75" hidden="1" outlineLevel="1">
      <c r="A211" s="60"/>
      <c r="B211" s="61"/>
      <c r="C211" s="64"/>
      <c r="D211" s="63"/>
      <c r="E211" s="44"/>
      <c r="F211" s="33"/>
      <c r="G211" s="42"/>
      <c r="H211" s="43"/>
      <c r="I211" s="43"/>
      <c r="J211" s="36"/>
      <c r="K211" s="37"/>
      <c r="L211" s="31"/>
      <c r="M211" s="33"/>
      <c r="N211" s="42"/>
      <c r="O211" s="36"/>
      <c r="P211" s="37"/>
      <c r="Q211" s="54"/>
      <c r="S211" s="110"/>
      <c r="T211" s="12"/>
      <c r="U211" s="12"/>
      <c r="V211" s="12"/>
      <c r="W211" s="19"/>
      <c r="X211" s="111"/>
    </row>
    <row r="212" spans="1:24" ht="12.75" collapsed="1">
      <c r="A212" s="60"/>
      <c r="B212" s="61"/>
      <c r="C212" s="64"/>
      <c r="D212" s="63"/>
      <c r="E212" s="44"/>
      <c r="F212" s="33"/>
      <c r="G212" s="42"/>
      <c r="H212" s="43"/>
      <c r="I212" s="43"/>
      <c r="J212" s="36">
        <f>IF(+I212+H212&gt;0,I212+(H212*labour),"")</f>
      </c>
      <c r="K212" s="37">
        <f>+IF(F212="item",J212,IF(F212&lt;&gt;0,F212*J212,""))</f>
      </c>
      <c r="L212" s="31"/>
      <c r="M212" s="33"/>
      <c r="N212" s="42"/>
      <c r="O212" s="36"/>
      <c r="P212" s="37">
        <f>+IF(M212="item",O212,IF(M212&lt;&gt;0,M212*O212,""))</f>
      </c>
      <c r="Q212" s="54"/>
      <c r="S212" s="110"/>
      <c r="T212" s="12"/>
      <c r="U212" s="12"/>
      <c r="V212" s="12"/>
      <c r="W212" s="19"/>
      <c r="X212" s="111"/>
    </row>
    <row r="213" spans="1:24" ht="25.5">
      <c r="A213" s="60"/>
      <c r="B213" s="61"/>
      <c r="C213" s="64"/>
      <c r="D213" s="63"/>
      <c r="E213" s="77" t="s">
        <v>134</v>
      </c>
      <c r="F213" s="33"/>
      <c r="G213" s="42"/>
      <c r="H213" s="43"/>
      <c r="I213" s="43"/>
      <c r="J213" s="36">
        <f>IF(+I213+H213&gt;0,I213+(H213*labour),"")</f>
      </c>
      <c r="K213" s="37">
        <f>+IF(F213="item",J213,IF(F213&lt;&gt;0,F213*J213,""))</f>
      </c>
      <c r="L213" s="126" t="s">
        <v>141</v>
      </c>
      <c r="M213" s="72"/>
      <c r="N213" s="73"/>
      <c r="O213" s="74"/>
      <c r="P213" s="75">
        <f>+IF(M213="item",O213,IF(M213&lt;&gt;0,M213*O213,""))</f>
      </c>
      <c r="Q213" s="76"/>
      <c r="S213" s="110"/>
      <c r="T213" s="12"/>
      <c r="U213" s="12"/>
      <c r="V213" s="12"/>
      <c r="W213" s="19"/>
      <c r="X213" s="111"/>
    </row>
    <row r="214" spans="1:24" ht="12.75">
      <c r="A214" s="60"/>
      <c r="B214" s="61"/>
      <c r="C214" s="64"/>
      <c r="D214" s="63"/>
      <c r="E214" s="44"/>
      <c r="F214" s="33"/>
      <c r="G214" s="42"/>
      <c r="H214" s="43"/>
      <c r="I214" s="43"/>
      <c r="J214" s="36">
        <f>IF(+I214+H214&gt;0,I214+(H214*labour),"")</f>
      </c>
      <c r="K214" s="37">
        <f>+IF(F214="item",J214,IF(F214&lt;&gt;0,F214*J214,""))</f>
      </c>
      <c r="L214" s="31"/>
      <c r="M214" s="33"/>
      <c r="N214" s="42"/>
      <c r="O214" s="36"/>
      <c r="P214" s="37">
        <f>+IF(M214="item",O214,IF(M214&lt;&gt;0,M214*O214,""))</f>
      </c>
      <c r="Q214" s="54"/>
      <c r="S214" s="110"/>
      <c r="T214" s="12"/>
      <c r="U214" s="12"/>
      <c r="V214" s="12"/>
      <c r="W214" s="19"/>
      <c r="X214" s="111"/>
    </row>
    <row r="215" spans="1:24" ht="25.5">
      <c r="A215" s="60"/>
      <c r="B215" s="61"/>
      <c r="C215" s="64"/>
      <c r="D215" s="63"/>
      <c r="E215" s="77" t="s">
        <v>135</v>
      </c>
      <c r="F215" s="33"/>
      <c r="G215" s="42"/>
      <c r="H215" s="43"/>
      <c r="I215" s="43"/>
      <c r="J215" s="36">
        <f>IF(+I215+H215&gt;0,I215+(H215*labour),"")</f>
      </c>
      <c r="K215" s="53">
        <f>SUM(K216:K218)</f>
        <v>1600</v>
      </c>
      <c r="L215" s="31"/>
      <c r="M215" s="72"/>
      <c r="N215" s="73"/>
      <c r="O215" s="74"/>
      <c r="P215" s="75">
        <f>+IF(M215="item",O215,IF(M215&lt;&gt;0,M215*O215,""))</f>
      </c>
      <c r="Q215" s="76"/>
      <c r="S215" s="110"/>
      <c r="T215" s="12"/>
      <c r="U215" s="12"/>
      <c r="V215" s="12"/>
      <c r="W215" s="112"/>
      <c r="X215" s="116" t="s">
        <v>265</v>
      </c>
    </row>
    <row r="216" spans="1:24" ht="12.75" hidden="1" outlineLevel="1">
      <c r="A216" s="60"/>
      <c r="B216" s="61"/>
      <c r="C216" s="64"/>
      <c r="D216" s="63"/>
      <c r="E216" s="44"/>
      <c r="F216" s="33"/>
      <c r="G216" s="42"/>
      <c r="H216" s="43"/>
      <c r="I216" s="43"/>
      <c r="J216" s="36">
        <f>IF(+I216+H216&gt;0,I216+(H216*labour),"")</f>
      </c>
      <c r="K216" s="37">
        <f>+IF(F216="item",J216,IF(F216&lt;&gt;0,F216*J216,""))</f>
      </c>
      <c r="L216" s="31"/>
      <c r="M216" s="72"/>
      <c r="N216" s="73"/>
      <c r="O216" s="74"/>
      <c r="P216" s="75">
        <f>+IF(M216="item",O216,IF(M216&lt;&gt;0,M216*O216,""))</f>
      </c>
      <c r="Q216" s="76"/>
      <c r="S216" s="113"/>
      <c r="T216" s="12"/>
      <c r="U216" s="12"/>
      <c r="V216" s="12"/>
      <c r="W216" s="19"/>
      <c r="X216" s="111"/>
    </row>
    <row r="217" spans="1:24" ht="38.25" customHeight="1" hidden="1" outlineLevel="1">
      <c r="A217" s="60"/>
      <c r="B217" s="61"/>
      <c r="C217" s="64"/>
      <c r="D217" s="63"/>
      <c r="E217" s="44" t="s">
        <v>407</v>
      </c>
      <c r="F217" s="33">
        <v>16</v>
      </c>
      <c r="G217" s="42" t="s">
        <v>8</v>
      </c>
      <c r="H217" s="43">
        <v>2.5</v>
      </c>
      <c r="I217" s="43">
        <v>25</v>
      </c>
      <c r="J217" s="36">
        <f>IF(+I217+H217&gt;0,I217+(H217*labour),"")</f>
        <v>100</v>
      </c>
      <c r="K217" s="37">
        <f>+IF(F217="item",J217,IF(F217&lt;&gt;0,F217*J217,""))</f>
        <v>1600</v>
      </c>
      <c r="L217" s="31" t="s">
        <v>408</v>
      </c>
      <c r="M217" s="72"/>
      <c r="N217" s="73"/>
      <c r="O217" s="74"/>
      <c r="P217" s="75">
        <f>+IF(M217="item",O217,IF(M217&lt;&gt;0,M217*O217,""))</f>
      </c>
      <c r="Q217" s="76"/>
      <c r="S217" s="121"/>
      <c r="T217" s="114"/>
      <c r="U217" s="12"/>
      <c r="V217" s="12"/>
      <c r="W217" s="19"/>
      <c r="X217" s="111"/>
    </row>
    <row r="218" spans="1:24" ht="12.75" collapsed="1">
      <c r="A218" s="60"/>
      <c r="B218" s="61"/>
      <c r="C218" s="64"/>
      <c r="D218" s="63"/>
      <c r="E218" s="44"/>
      <c r="F218" s="33"/>
      <c r="G218" s="42"/>
      <c r="H218" s="43"/>
      <c r="I218" s="43"/>
      <c r="J218" s="36">
        <f>IF(+I218+H218&gt;0,I218+(H218*labour),"")</f>
      </c>
      <c r="K218" s="37">
        <f>+IF(F218="item",J218,IF(F218&lt;&gt;0,F218*J218,""))</f>
      </c>
      <c r="L218" s="31"/>
      <c r="M218" s="33"/>
      <c r="N218" s="42"/>
      <c r="O218" s="36"/>
      <c r="P218" s="37">
        <f>+IF(M218="item",O218,IF(M218&lt;&gt;0,M218*O218,""))</f>
      </c>
      <c r="Q218" s="54"/>
      <c r="S218" s="110"/>
      <c r="T218" s="12"/>
      <c r="U218" s="12"/>
      <c r="V218" s="12"/>
      <c r="W218" s="19"/>
      <c r="X218" s="111"/>
    </row>
    <row r="219" spans="1:24" ht="24.75" customHeight="1">
      <c r="A219" s="60"/>
      <c r="B219" s="61"/>
      <c r="C219" s="64"/>
      <c r="D219" s="63"/>
      <c r="E219" s="139" t="s">
        <v>138</v>
      </c>
      <c r="F219" s="72"/>
      <c r="G219" s="73"/>
      <c r="H219" s="140"/>
      <c r="I219" s="140"/>
      <c r="J219" s="74">
        <f>IF(+I219+H219&gt;0,I219+(H219*labour),"")</f>
      </c>
      <c r="K219" s="75">
        <f>+IF(F219="item",J219,IF(F219&lt;&gt;0,F219*J219,""))</f>
      </c>
      <c r="L219" s="141" t="s">
        <v>322</v>
      </c>
      <c r="M219" s="72"/>
      <c r="N219" s="73"/>
      <c r="O219" s="74"/>
      <c r="P219" s="75">
        <f>+IF(M219="item",O219,IF(M219&lt;&gt;0,M219*O219,""))</f>
      </c>
      <c r="Q219" s="76"/>
      <c r="S219" s="110"/>
      <c r="T219" s="114"/>
      <c r="U219" s="12"/>
      <c r="V219" s="12"/>
      <c r="W219" s="19"/>
      <c r="X219" s="116"/>
    </row>
    <row r="220" spans="1:24" ht="12.75">
      <c r="A220" s="60"/>
      <c r="B220" s="61"/>
      <c r="C220" s="62"/>
      <c r="D220" s="63"/>
      <c r="E220" s="77"/>
      <c r="F220" s="33"/>
      <c r="G220" s="42"/>
      <c r="H220" s="43"/>
      <c r="I220" s="43"/>
      <c r="J220" s="36"/>
      <c r="K220" s="37"/>
      <c r="L220" s="31"/>
      <c r="M220" s="33"/>
      <c r="N220" s="42"/>
      <c r="O220" s="36"/>
      <c r="P220" s="37"/>
      <c r="Q220" s="54"/>
      <c r="S220" s="110"/>
      <c r="T220" s="12"/>
      <c r="U220" s="12"/>
      <c r="V220" s="12"/>
      <c r="W220" s="19"/>
      <c r="X220" s="111"/>
    </row>
    <row r="221" spans="1:24" ht="12.75">
      <c r="A221" s="60"/>
      <c r="B221" s="61"/>
      <c r="C221" s="62"/>
      <c r="D221" s="63"/>
      <c r="E221" s="77"/>
      <c r="F221" s="33"/>
      <c r="G221" s="42"/>
      <c r="H221" s="43"/>
      <c r="I221" s="43"/>
      <c r="J221" s="36"/>
      <c r="K221" s="37"/>
      <c r="L221" s="31"/>
      <c r="M221" s="33"/>
      <c r="N221" s="42"/>
      <c r="O221" s="36"/>
      <c r="P221" s="37"/>
      <c r="Q221" s="54"/>
      <c r="S221" s="110"/>
      <c r="T221" s="12"/>
      <c r="U221" s="12"/>
      <c r="V221" s="12"/>
      <c r="W221" s="19"/>
      <c r="X221" s="111"/>
    </row>
    <row r="222" spans="1:24" ht="25.5">
      <c r="A222" s="60"/>
      <c r="B222" s="61"/>
      <c r="C222" s="62"/>
      <c r="D222" s="65"/>
      <c r="E222" s="77" t="s">
        <v>139</v>
      </c>
      <c r="F222" s="45"/>
      <c r="G222" s="42"/>
      <c r="H222" s="43"/>
      <c r="I222" s="43"/>
      <c r="J222" s="147">
        <f>IF(+I222+H222&gt;0,I222+(H222*labour),"")</f>
      </c>
      <c r="K222" s="169">
        <f>SUM(K224:K243)</f>
        <v>14833.794130434782</v>
      </c>
      <c r="L222" s="149" t="s">
        <v>322</v>
      </c>
      <c r="M222" s="72"/>
      <c r="N222" s="73"/>
      <c r="O222" s="74"/>
      <c r="P222" s="75">
        <f>+IF(M222="item",O222,IF(M222&lt;&gt;0,M222*O222,""))</f>
      </c>
      <c r="Q222" s="76"/>
      <c r="S222" s="110"/>
      <c r="T222" s="12"/>
      <c r="U222" s="12"/>
      <c r="V222" s="12"/>
      <c r="W222" s="19"/>
      <c r="X222" s="116" t="s">
        <v>265</v>
      </c>
    </row>
    <row r="223" spans="1:24" s="151" customFormat="1" ht="12.75">
      <c r="A223" s="143"/>
      <c r="B223" s="144"/>
      <c r="C223" s="145"/>
      <c r="D223" s="146"/>
      <c r="E223" s="77"/>
      <c r="F223" s="45"/>
      <c r="G223" s="42"/>
      <c r="H223" s="43"/>
      <c r="I223" s="43"/>
      <c r="J223" s="147"/>
      <c r="K223" s="148"/>
      <c r="L223" s="149"/>
      <c r="M223" s="45"/>
      <c r="N223" s="42"/>
      <c r="O223" s="147"/>
      <c r="P223" s="148"/>
      <c r="Q223" s="150"/>
      <c r="S223" s="152"/>
      <c r="T223" s="153"/>
      <c r="U223" s="153"/>
      <c r="V223" s="153"/>
      <c r="W223" s="154"/>
      <c r="X223" s="155"/>
    </row>
    <row r="224" spans="1:24" s="151" customFormat="1" ht="12.75" hidden="1" outlineLevel="1">
      <c r="A224" s="143"/>
      <c r="B224" s="144"/>
      <c r="C224" s="145"/>
      <c r="D224" s="146"/>
      <c r="E224" s="44" t="s">
        <v>281</v>
      </c>
      <c r="F224" s="45">
        <f>ROUND(D228,0)</f>
        <v>90</v>
      </c>
      <c r="G224" s="42" t="s">
        <v>35</v>
      </c>
      <c r="H224" s="43"/>
      <c r="I224" s="43"/>
      <c r="J224" s="147">
        <v>19.4</v>
      </c>
      <c r="K224" s="148">
        <f aca="true" t="shared" si="21" ref="K224:K240">+IF(F224="item",J224,IF(F224&lt;&gt;0,F224*J224,""))</f>
        <v>1745.9999999999998</v>
      </c>
      <c r="L224" s="149"/>
      <c r="M224" s="45"/>
      <c r="N224" s="42"/>
      <c r="O224" s="147"/>
      <c r="P224" s="148">
        <f aca="true" t="shared" si="22" ref="P224:P240">+IF(M224="item",O224,IF(M224&lt;&gt;0,M224*O224,""))</f>
      </c>
      <c r="Q224" s="150"/>
      <c r="S224" s="152"/>
      <c r="T224" s="153"/>
      <c r="U224" s="153"/>
      <c r="V224" s="153"/>
      <c r="W224" s="154"/>
      <c r="X224" s="155"/>
    </row>
    <row r="225" spans="1:24" s="151" customFormat="1" ht="12.75" hidden="1" outlineLevel="1">
      <c r="A225" s="143"/>
      <c r="B225" s="144"/>
      <c r="C225" s="145">
        <v>14.8</v>
      </c>
      <c r="D225" s="146"/>
      <c r="E225" s="44"/>
      <c r="F225" s="45"/>
      <c r="G225" s="42"/>
      <c r="H225" s="43"/>
      <c r="I225" s="43"/>
      <c r="J225" s="147"/>
      <c r="K225" s="148"/>
      <c r="L225" s="149"/>
      <c r="M225" s="45"/>
      <c r="N225" s="42"/>
      <c r="O225" s="147"/>
      <c r="P225" s="148"/>
      <c r="Q225" s="150"/>
      <c r="S225" s="152"/>
      <c r="T225" s="153"/>
      <c r="U225" s="153"/>
      <c r="V225" s="153"/>
      <c r="W225" s="154"/>
      <c r="X225" s="155"/>
    </row>
    <row r="226" spans="1:24" s="151" customFormat="1" ht="12.75" hidden="1" outlineLevel="1">
      <c r="A226" s="143"/>
      <c r="B226" s="144"/>
      <c r="C226" s="168">
        <v>6.1</v>
      </c>
      <c r="D226" s="87">
        <f>+C225*C226</f>
        <v>90.28</v>
      </c>
      <c r="E226" s="44"/>
      <c r="F226" s="45"/>
      <c r="G226" s="42"/>
      <c r="H226" s="43"/>
      <c r="I226" s="43"/>
      <c r="J226" s="147"/>
      <c r="K226" s="148"/>
      <c r="L226" s="149"/>
      <c r="M226" s="45"/>
      <c r="N226" s="42"/>
      <c r="O226" s="147"/>
      <c r="P226" s="148"/>
      <c r="Q226" s="150"/>
      <c r="S226" s="152"/>
      <c r="T226" s="153"/>
      <c r="U226" s="153"/>
      <c r="V226" s="153"/>
      <c r="W226" s="154"/>
      <c r="X226" s="155"/>
    </row>
    <row r="227" spans="1:24" s="151" customFormat="1" ht="12.75" hidden="1" outlineLevel="1">
      <c r="A227" s="143"/>
      <c r="B227" s="144"/>
      <c r="C227" s="145"/>
      <c r="D227" s="146"/>
      <c r="E227" s="44"/>
      <c r="F227" s="45"/>
      <c r="G227" s="42"/>
      <c r="H227" s="43"/>
      <c r="I227" s="43"/>
      <c r="J227" s="147"/>
      <c r="K227" s="148"/>
      <c r="L227" s="149"/>
      <c r="M227" s="45"/>
      <c r="N227" s="42"/>
      <c r="O227" s="147"/>
      <c r="P227" s="148"/>
      <c r="Q227" s="150"/>
      <c r="S227" s="152"/>
      <c r="T227" s="153"/>
      <c r="U227" s="153"/>
      <c r="V227" s="153"/>
      <c r="W227" s="154"/>
      <c r="X227" s="155"/>
    </row>
    <row r="228" spans="1:24" s="151" customFormat="1" ht="12.75" hidden="1" outlineLevel="1">
      <c r="A228" s="143"/>
      <c r="B228" s="144"/>
      <c r="C228" s="145"/>
      <c r="D228" s="146">
        <f>SUM(D226:D226)</f>
        <v>90.28</v>
      </c>
      <c r="E228" s="44"/>
      <c r="F228" s="45"/>
      <c r="G228" s="42"/>
      <c r="H228" s="43"/>
      <c r="I228" s="43"/>
      <c r="J228" s="147"/>
      <c r="K228" s="148"/>
      <c r="L228" s="149"/>
      <c r="M228" s="45"/>
      <c r="N228" s="42"/>
      <c r="O228" s="147"/>
      <c r="P228" s="148"/>
      <c r="Q228" s="150"/>
      <c r="S228" s="152"/>
      <c r="T228" s="153"/>
      <c r="U228" s="153"/>
      <c r="V228" s="153"/>
      <c r="W228" s="154"/>
      <c r="X228" s="155"/>
    </row>
    <row r="229" spans="1:24" s="151" customFormat="1" ht="12.75" hidden="1" outlineLevel="1">
      <c r="A229" s="143"/>
      <c r="B229" s="144"/>
      <c r="C229" s="145"/>
      <c r="D229" s="146"/>
      <c r="E229" s="77"/>
      <c r="F229" s="45"/>
      <c r="G229" s="42"/>
      <c r="H229" s="43"/>
      <c r="I229" s="43"/>
      <c r="J229" s="147"/>
      <c r="K229" s="148">
        <f t="shared" si="21"/>
      </c>
      <c r="L229" s="149"/>
      <c r="M229" s="45"/>
      <c r="N229" s="42"/>
      <c r="O229" s="147"/>
      <c r="P229" s="148">
        <f t="shared" si="22"/>
      </c>
      <c r="Q229" s="150"/>
      <c r="S229" s="152"/>
      <c r="T229" s="153"/>
      <c r="U229" s="153"/>
      <c r="V229" s="153"/>
      <c r="W229" s="154"/>
      <c r="X229" s="155"/>
    </row>
    <row r="230" spans="1:24" s="151" customFormat="1" ht="12.75" hidden="1" outlineLevel="1">
      <c r="A230" s="143"/>
      <c r="B230" s="144"/>
      <c r="C230" s="145"/>
      <c r="D230" s="146"/>
      <c r="E230" s="44" t="s">
        <v>283</v>
      </c>
      <c r="F230" s="45">
        <f>ROUND(F224*0.3,0)</f>
        <v>27</v>
      </c>
      <c r="G230" s="42" t="s">
        <v>215</v>
      </c>
      <c r="H230" s="43"/>
      <c r="I230" s="43"/>
      <c r="J230" s="147">
        <v>76.25</v>
      </c>
      <c r="K230" s="148">
        <f t="shared" si="21"/>
        <v>2058.75</v>
      </c>
      <c r="L230" s="149"/>
      <c r="M230" s="45"/>
      <c r="N230" s="42"/>
      <c r="O230" s="147"/>
      <c r="P230" s="148">
        <f t="shared" si="22"/>
      </c>
      <c r="Q230" s="150"/>
      <c r="S230" s="152"/>
      <c r="T230" s="153"/>
      <c r="U230" s="153"/>
      <c r="V230" s="153"/>
      <c r="W230" s="154"/>
      <c r="X230" s="155"/>
    </row>
    <row r="231" spans="1:24" s="151" customFormat="1" ht="12.75" hidden="1" outlineLevel="1">
      <c r="A231" s="143"/>
      <c r="B231" s="144"/>
      <c r="C231" s="145"/>
      <c r="D231" s="146"/>
      <c r="E231" s="77"/>
      <c r="F231" s="45"/>
      <c r="G231" s="42"/>
      <c r="H231" s="43"/>
      <c r="I231" s="43"/>
      <c r="J231" s="147"/>
      <c r="K231" s="148">
        <f t="shared" si="21"/>
      </c>
      <c r="L231" s="149"/>
      <c r="M231" s="45"/>
      <c r="N231" s="42"/>
      <c r="O231" s="147"/>
      <c r="P231" s="148">
        <f t="shared" si="22"/>
      </c>
      <c r="Q231" s="150"/>
      <c r="S231" s="152"/>
      <c r="T231" s="153"/>
      <c r="U231" s="153"/>
      <c r="V231" s="153"/>
      <c r="W231" s="154"/>
      <c r="X231" s="155"/>
    </row>
    <row r="232" spans="1:24" s="151" customFormat="1" ht="12.75" hidden="1" outlineLevel="1">
      <c r="A232" s="143"/>
      <c r="B232" s="144"/>
      <c r="C232" s="145"/>
      <c r="D232" s="146"/>
      <c r="E232" s="44" t="s">
        <v>284</v>
      </c>
      <c r="F232" s="45">
        <f>+F224</f>
        <v>90</v>
      </c>
      <c r="G232" s="42" t="s">
        <v>35</v>
      </c>
      <c r="H232" s="43"/>
      <c r="I232" s="43"/>
      <c r="J232" s="147">
        <v>14.62</v>
      </c>
      <c r="K232" s="148">
        <f t="shared" si="21"/>
        <v>1315.8</v>
      </c>
      <c r="L232" s="149"/>
      <c r="M232" s="45"/>
      <c r="N232" s="42"/>
      <c r="O232" s="147"/>
      <c r="P232" s="148">
        <f t="shared" si="22"/>
      </c>
      <c r="Q232" s="150"/>
      <c r="S232" s="152"/>
      <c r="T232" s="153"/>
      <c r="U232" s="153"/>
      <c r="V232" s="153"/>
      <c r="W232" s="154"/>
      <c r="X232" s="155"/>
    </row>
    <row r="233" spans="1:24" s="151" customFormat="1" ht="12.75" hidden="1" outlineLevel="1">
      <c r="A233" s="143"/>
      <c r="B233" s="144"/>
      <c r="C233" s="145"/>
      <c r="D233" s="146"/>
      <c r="E233" s="44"/>
      <c r="F233" s="45"/>
      <c r="G233" s="42"/>
      <c r="H233" s="43"/>
      <c r="I233" s="43"/>
      <c r="J233" s="147"/>
      <c r="K233" s="148">
        <f t="shared" si="21"/>
      </c>
      <c r="L233" s="149"/>
      <c r="M233" s="45"/>
      <c r="N233" s="42"/>
      <c r="O233" s="147"/>
      <c r="P233" s="148">
        <f t="shared" si="22"/>
      </c>
      <c r="Q233" s="150"/>
      <c r="S233" s="152"/>
      <c r="T233" s="153"/>
      <c r="U233" s="153"/>
      <c r="V233" s="153"/>
      <c r="W233" s="154"/>
      <c r="X233" s="155"/>
    </row>
    <row r="234" spans="1:24" s="151" customFormat="1" ht="12.75" hidden="1" outlineLevel="1">
      <c r="A234" s="143"/>
      <c r="B234" s="144"/>
      <c r="C234" s="145"/>
      <c r="D234" s="146"/>
      <c r="E234" s="44" t="s">
        <v>285</v>
      </c>
      <c r="F234" s="45">
        <f>+F232</f>
        <v>90</v>
      </c>
      <c r="G234" s="42" t="s">
        <v>35</v>
      </c>
      <c r="H234" s="43"/>
      <c r="I234" s="43"/>
      <c r="J234" s="147">
        <f>12.86/2.3</f>
        <v>5.591304347826087</v>
      </c>
      <c r="K234" s="148">
        <f t="shared" si="21"/>
        <v>503.2173913043478</v>
      </c>
      <c r="L234" s="149"/>
      <c r="M234" s="45"/>
      <c r="N234" s="42"/>
      <c r="O234" s="147"/>
      <c r="P234" s="148">
        <f t="shared" si="22"/>
      </c>
      <c r="Q234" s="150"/>
      <c r="S234" s="152"/>
      <c r="T234" s="153"/>
      <c r="U234" s="153"/>
      <c r="V234" s="153"/>
      <c r="W234" s="154"/>
      <c r="X234" s="155"/>
    </row>
    <row r="235" spans="1:24" s="151" customFormat="1" ht="12.75" hidden="1" outlineLevel="1">
      <c r="A235" s="143"/>
      <c r="B235" s="144"/>
      <c r="C235" s="145"/>
      <c r="D235" s="146"/>
      <c r="E235" s="44"/>
      <c r="F235" s="45"/>
      <c r="G235" s="42"/>
      <c r="H235" s="43"/>
      <c r="I235" s="43"/>
      <c r="J235" s="147"/>
      <c r="K235" s="148">
        <f t="shared" si="21"/>
      </c>
      <c r="L235" s="149"/>
      <c r="M235" s="45"/>
      <c r="N235" s="42"/>
      <c r="O235" s="147"/>
      <c r="P235" s="148">
        <f t="shared" si="22"/>
      </c>
      <c r="Q235" s="150"/>
      <c r="S235" s="152"/>
      <c r="T235" s="153"/>
      <c r="U235" s="153"/>
      <c r="V235" s="153"/>
      <c r="W235" s="154"/>
      <c r="X235" s="155"/>
    </row>
    <row r="236" spans="1:24" s="151" customFormat="1" ht="12.75" hidden="1" outlineLevel="1">
      <c r="A236" s="143"/>
      <c r="B236" s="144"/>
      <c r="C236" s="145"/>
      <c r="D236" s="146"/>
      <c r="E236" s="44" t="s">
        <v>286</v>
      </c>
      <c r="F236" s="45">
        <f>+F234</f>
        <v>90</v>
      </c>
      <c r="G236" s="42" t="s">
        <v>35</v>
      </c>
      <c r="H236" s="43"/>
      <c r="I236" s="43"/>
      <c r="J236" s="147">
        <v>8.54</v>
      </c>
      <c r="K236" s="148">
        <f t="shared" si="21"/>
        <v>768.5999999999999</v>
      </c>
      <c r="L236" s="149"/>
      <c r="M236" s="45"/>
      <c r="N236" s="42"/>
      <c r="O236" s="147"/>
      <c r="P236" s="148">
        <f t="shared" si="22"/>
      </c>
      <c r="Q236" s="150"/>
      <c r="S236" s="152"/>
      <c r="T236" s="153"/>
      <c r="U236" s="153"/>
      <c r="V236" s="153"/>
      <c r="W236" s="154"/>
      <c r="X236" s="155"/>
    </row>
    <row r="237" spans="1:24" s="151" customFormat="1" ht="12.75" hidden="1" outlineLevel="1">
      <c r="A237" s="143"/>
      <c r="B237" s="144"/>
      <c r="C237" s="145"/>
      <c r="D237" s="146"/>
      <c r="E237" s="44"/>
      <c r="F237" s="45"/>
      <c r="G237" s="42"/>
      <c r="H237" s="43"/>
      <c r="I237" s="43"/>
      <c r="J237" s="147"/>
      <c r="K237" s="148">
        <f t="shared" si="21"/>
      </c>
      <c r="L237" s="149"/>
      <c r="M237" s="45"/>
      <c r="N237" s="42"/>
      <c r="O237" s="147"/>
      <c r="P237" s="148">
        <f t="shared" si="22"/>
      </c>
      <c r="Q237" s="150"/>
      <c r="S237" s="152"/>
      <c r="T237" s="153"/>
      <c r="U237" s="153"/>
      <c r="V237" s="153"/>
      <c r="W237" s="154"/>
      <c r="X237" s="155"/>
    </row>
    <row r="238" spans="1:24" s="151" customFormat="1" ht="12.75" hidden="1" outlineLevel="1">
      <c r="A238" s="143"/>
      <c r="B238" s="144"/>
      <c r="C238" s="145"/>
      <c r="D238" s="146"/>
      <c r="E238" s="44" t="s">
        <v>287</v>
      </c>
      <c r="F238" s="45">
        <f>+F236</f>
        <v>90</v>
      </c>
      <c r="G238" s="42" t="s">
        <v>35</v>
      </c>
      <c r="H238" s="43"/>
      <c r="I238" s="43"/>
      <c r="J238" s="147">
        <v>24.29</v>
      </c>
      <c r="K238" s="148">
        <f t="shared" si="21"/>
        <v>2186.1</v>
      </c>
      <c r="L238" s="149"/>
      <c r="M238" s="45"/>
      <c r="N238" s="42"/>
      <c r="O238" s="147"/>
      <c r="P238" s="148">
        <f t="shared" si="22"/>
      </c>
      <c r="Q238" s="150"/>
      <c r="S238" s="152"/>
      <c r="T238" s="153"/>
      <c r="U238" s="153"/>
      <c r="V238" s="153"/>
      <c r="W238" s="154"/>
      <c r="X238" s="155"/>
    </row>
    <row r="239" spans="1:24" s="151" customFormat="1" ht="12.75" hidden="1" outlineLevel="1">
      <c r="A239" s="143"/>
      <c r="B239" s="144"/>
      <c r="C239" s="145"/>
      <c r="D239" s="146"/>
      <c r="E239" s="44"/>
      <c r="F239" s="45"/>
      <c r="G239" s="42"/>
      <c r="H239" s="43"/>
      <c r="I239" s="43"/>
      <c r="J239" s="147"/>
      <c r="K239" s="148">
        <f t="shared" si="21"/>
      </c>
      <c r="L239" s="149"/>
      <c r="M239" s="45"/>
      <c r="N239" s="42"/>
      <c r="O239" s="147"/>
      <c r="P239" s="148">
        <f t="shared" si="22"/>
      </c>
      <c r="Q239" s="150"/>
      <c r="S239" s="152"/>
      <c r="T239" s="153"/>
      <c r="U239" s="153"/>
      <c r="V239" s="153"/>
      <c r="W239" s="154"/>
      <c r="X239" s="155"/>
    </row>
    <row r="240" spans="1:24" s="151" customFormat="1" ht="12.75" hidden="1" outlineLevel="1">
      <c r="A240" s="143"/>
      <c r="B240" s="144"/>
      <c r="C240" s="145"/>
      <c r="D240" s="146"/>
      <c r="E240" s="44" t="s">
        <v>288</v>
      </c>
      <c r="F240" s="45">
        <f>+F238</f>
        <v>90</v>
      </c>
      <c r="G240" s="42" t="s">
        <v>35</v>
      </c>
      <c r="H240" s="43"/>
      <c r="I240" s="43"/>
      <c r="J240" s="147">
        <v>54.52</v>
      </c>
      <c r="K240" s="148">
        <f t="shared" si="21"/>
        <v>4906.8</v>
      </c>
      <c r="L240" s="149"/>
      <c r="M240" s="45"/>
      <c r="N240" s="42"/>
      <c r="O240" s="147"/>
      <c r="P240" s="148">
        <f t="shared" si="22"/>
      </c>
      <c r="Q240" s="150"/>
      <c r="S240" s="152"/>
      <c r="T240" s="153"/>
      <c r="U240" s="153"/>
      <c r="V240" s="153"/>
      <c r="W240" s="154"/>
      <c r="X240" s="155"/>
    </row>
    <row r="241" spans="1:24" s="151" customFormat="1" ht="12.75" hidden="1" outlineLevel="1">
      <c r="A241" s="143"/>
      <c r="B241" s="144"/>
      <c r="C241" s="145"/>
      <c r="D241" s="146"/>
      <c r="E241" s="44"/>
      <c r="F241" s="45"/>
      <c r="G241" s="42"/>
      <c r="H241" s="43"/>
      <c r="I241" s="43"/>
      <c r="J241" s="147"/>
      <c r="K241" s="148"/>
      <c r="L241" s="149"/>
      <c r="M241" s="45"/>
      <c r="N241" s="42"/>
      <c r="O241" s="147"/>
      <c r="P241" s="148"/>
      <c r="Q241" s="150"/>
      <c r="S241" s="152"/>
      <c r="T241" s="153"/>
      <c r="U241" s="153"/>
      <c r="V241" s="153"/>
      <c r="W241" s="154"/>
      <c r="X241" s="155"/>
    </row>
    <row r="242" spans="1:24" s="151" customFormat="1" ht="12.75" hidden="1" outlineLevel="1">
      <c r="A242" s="143"/>
      <c r="B242" s="144"/>
      <c r="C242" s="145"/>
      <c r="D242" s="146"/>
      <c r="E242" s="38" t="s">
        <v>362</v>
      </c>
      <c r="F242" s="33">
        <v>10</v>
      </c>
      <c r="G242" s="34" t="s">
        <v>363</v>
      </c>
      <c r="H242" s="39"/>
      <c r="I242" s="39"/>
      <c r="J242" s="36">
        <f>SUM(K224:K240)</f>
        <v>13485.267391304347</v>
      </c>
      <c r="K242" s="37">
        <f>+J242*F242%</f>
        <v>1348.5267391304349</v>
      </c>
      <c r="L242" s="149"/>
      <c r="M242" s="45"/>
      <c r="N242" s="42"/>
      <c r="O242" s="147"/>
      <c r="P242" s="148"/>
      <c r="Q242" s="150"/>
      <c r="S242" s="152"/>
      <c r="T242" s="153"/>
      <c r="U242" s="153"/>
      <c r="V242" s="153"/>
      <c r="W242" s="154"/>
      <c r="X242" s="155"/>
    </row>
    <row r="243" spans="1:24" s="151" customFormat="1" ht="12.75" hidden="1" outlineLevel="1">
      <c r="A243" s="143"/>
      <c r="B243" s="144"/>
      <c r="C243" s="145"/>
      <c r="D243" s="146"/>
      <c r="E243" s="77"/>
      <c r="F243" s="45"/>
      <c r="G243" s="42"/>
      <c r="H243" s="43"/>
      <c r="I243" s="43"/>
      <c r="J243" s="147"/>
      <c r="K243" s="148"/>
      <c r="L243" s="149"/>
      <c r="M243" s="45"/>
      <c r="N243" s="42"/>
      <c r="O243" s="147"/>
      <c r="P243" s="148"/>
      <c r="Q243" s="150"/>
      <c r="S243" s="152"/>
      <c r="T243" s="153"/>
      <c r="U243" s="153"/>
      <c r="V243" s="153"/>
      <c r="W243" s="154"/>
      <c r="X243" s="155"/>
    </row>
    <row r="244" spans="1:24" ht="12.75" collapsed="1">
      <c r="A244" s="60"/>
      <c r="B244" s="61"/>
      <c r="C244" s="62"/>
      <c r="D244" s="65"/>
      <c r="E244" s="44"/>
      <c r="F244" s="33"/>
      <c r="G244" s="42"/>
      <c r="H244" s="43"/>
      <c r="I244" s="43"/>
      <c r="J244" s="36"/>
      <c r="K244" s="37"/>
      <c r="L244" s="31"/>
      <c r="M244" s="33"/>
      <c r="N244" s="42"/>
      <c r="O244" s="36"/>
      <c r="P244" s="37"/>
      <c r="Q244" s="54"/>
      <c r="S244" s="110"/>
      <c r="T244" s="12"/>
      <c r="U244" s="12"/>
      <c r="V244" s="12"/>
      <c r="W244" s="19"/>
      <c r="X244" s="116"/>
    </row>
    <row r="245" spans="1:24" ht="12.75">
      <c r="A245" s="60"/>
      <c r="B245" s="61"/>
      <c r="C245" s="62"/>
      <c r="D245" s="65"/>
      <c r="E245" s="44"/>
      <c r="F245" s="33"/>
      <c r="G245" s="42"/>
      <c r="H245" s="43"/>
      <c r="I245" s="43"/>
      <c r="J245" s="36"/>
      <c r="K245" s="37"/>
      <c r="L245" s="31"/>
      <c r="M245" s="33"/>
      <c r="N245" s="42"/>
      <c r="O245" s="36"/>
      <c r="P245" s="37"/>
      <c r="Q245" s="54"/>
      <c r="S245" s="110"/>
      <c r="T245" s="12"/>
      <c r="U245" s="12"/>
      <c r="V245" s="12"/>
      <c r="W245" s="19"/>
      <c r="X245" s="116"/>
    </row>
    <row r="246" spans="1:24" ht="25.5">
      <c r="A246" s="60"/>
      <c r="B246" s="61"/>
      <c r="C246" s="64"/>
      <c r="D246" s="63"/>
      <c r="E246" s="142" t="s">
        <v>140</v>
      </c>
      <c r="F246" s="72"/>
      <c r="G246" s="73"/>
      <c r="H246" s="140"/>
      <c r="I246" s="140"/>
      <c r="J246" s="74">
        <f>IF(+I246+H246&gt;0,I246+(H246*labour),"")</f>
      </c>
      <c r="K246" s="75">
        <f>+IF(F246="item",J246,IF(F246&lt;&gt;0,F246*J246,""))</f>
      </c>
      <c r="L246" s="141" t="s">
        <v>322</v>
      </c>
      <c r="M246" s="72"/>
      <c r="N246" s="73"/>
      <c r="O246" s="74"/>
      <c r="P246" s="75">
        <f>+IF(M246="item",O246,IF(M246&lt;&gt;0,M246*O246,""))</f>
      </c>
      <c r="Q246" s="76"/>
      <c r="S246" s="110"/>
      <c r="T246" s="12"/>
      <c r="U246" s="12"/>
      <c r="V246" s="12"/>
      <c r="W246" s="19"/>
      <c r="X246" s="116" t="s">
        <v>265</v>
      </c>
    </row>
    <row r="247" spans="1:24" ht="12.75">
      <c r="A247" s="60"/>
      <c r="B247" s="61"/>
      <c r="C247" s="62"/>
      <c r="D247" s="65"/>
      <c r="E247" s="77"/>
      <c r="F247" s="33"/>
      <c r="G247" s="42"/>
      <c r="H247" s="43"/>
      <c r="I247" s="43"/>
      <c r="J247" s="36"/>
      <c r="K247" s="37">
        <f>+IF(F247="item",J247,IF(F247&lt;&gt;0,F247*J247,""))</f>
      </c>
      <c r="L247" s="31"/>
      <c r="M247" s="33"/>
      <c r="N247" s="42"/>
      <c r="O247" s="36"/>
      <c r="P247" s="37"/>
      <c r="Q247" s="54"/>
      <c r="S247" s="110"/>
      <c r="T247" s="12"/>
      <c r="U247" s="12"/>
      <c r="V247" s="12"/>
      <c r="W247" s="19"/>
      <c r="X247" s="111"/>
    </row>
    <row r="248" spans="1:24" ht="25.5">
      <c r="A248" s="60"/>
      <c r="B248" s="61"/>
      <c r="C248" s="62"/>
      <c r="D248" s="65"/>
      <c r="E248" s="77" t="s">
        <v>142</v>
      </c>
      <c r="F248" s="33"/>
      <c r="G248" s="42"/>
      <c r="H248" s="43"/>
      <c r="I248" s="43"/>
      <c r="J248" s="36"/>
      <c r="K248" s="53">
        <f>SUM(K250:K273)</f>
        <v>12014.75</v>
      </c>
      <c r="L248" s="31" t="s">
        <v>409</v>
      </c>
      <c r="M248" s="72"/>
      <c r="N248" s="73"/>
      <c r="O248" s="74"/>
      <c r="P248" s="75">
        <f aca="true" t="shared" si="23" ref="P248:P256">+IF(M248="item",O248,IF(M248&lt;&gt;0,M248*O248,""))</f>
      </c>
      <c r="Q248" s="76"/>
      <c r="S248" s="110"/>
      <c r="T248" s="12"/>
      <c r="U248" s="12"/>
      <c r="V248" s="12"/>
      <c r="W248" s="19"/>
      <c r="X248" s="111"/>
    </row>
    <row r="249" spans="1:24" ht="12.75">
      <c r="A249" s="60"/>
      <c r="B249" s="61"/>
      <c r="C249" s="62"/>
      <c r="D249" s="65"/>
      <c r="E249" s="77"/>
      <c r="F249" s="33"/>
      <c r="G249" s="42"/>
      <c r="H249" s="43"/>
      <c r="I249" s="43"/>
      <c r="J249" s="36"/>
      <c r="K249" s="37">
        <f aca="true" t="shared" si="24" ref="K249:K256">+IF(F249="item",J249,IF(F249&lt;&gt;0,F249*J249,""))</f>
      </c>
      <c r="L249" s="31"/>
      <c r="M249" s="72"/>
      <c r="N249" s="73"/>
      <c r="O249" s="74"/>
      <c r="P249" s="75">
        <f t="shared" si="23"/>
      </c>
      <c r="Q249" s="76"/>
      <c r="S249" s="110"/>
      <c r="T249" s="12"/>
      <c r="U249" s="12"/>
      <c r="V249" s="12"/>
      <c r="W249" s="19"/>
      <c r="X249" s="111"/>
    </row>
    <row r="250" spans="1:24" ht="51" hidden="1" outlineLevel="1">
      <c r="A250" s="60"/>
      <c r="B250" s="61"/>
      <c r="C250" s="62"/>
      <c r="D250" s="65"/>
      <c r="E250" s="44" t="s">
        <v>330</v>
      </c>
      <c r="F250" s="33">
        <f>ROUND(D258,0)</f>
        <v>53</v>
      </c>
      <c r="G250" s="42" t="s">
        <v>35</v>
      </c>
      <c r="H250" s="43"/>
      <c r="I250" s="43"/>
      <c r="J250" s="36">
        <f>pavadentro</f>
        <v>150</v>
      </c>
      <c r="K250" s="37">
        <f t="shared" si="24"/>
        <v>7950</v>
      </c>
      <c r="L250" s="31" t="s">
        <v>325</v>
      </c>
      <c r="M250" s="72"/>
      <c r="N250" s="73"/>
      <c r="O250" s="74"/>
      <c r="P250" s="75">
        <f t="shared" si="23"/>
      </c>
      <c r="Q250" s="76"/>
      <c r="S250" s="110"/>
      <c r="T250" s="12"/>
      <c r="U250" s="12"/>
      <c r="V250" s="12"/>
      <c r="W250" s="19"/>
      <c r="X250" s="111"/>
    </row>
    <row r="251" spans="1:24" ht="12.75" hidden="1" outlineLevel="1">
      <c r="A251" s="60"/>
      <c r="B251" s="61"/>
      <c r="C251" s="62">
        <v>9.5</v>
      </c>
      <c r="D251" s="63"/>
      <c r="E251" s="77"/>
      <c r="F251" s="33"/>
      <c r="G251" s="42"/>
      <c r="H251" s="43"/>
      <c r="I251" s="43"/>
      <c r="J251" s="36"/>
      <c r="K251" s="37">
        <f t="shared" si="24"/>
      </c>
      <c r="L251" s="31"/>
      <c r="M251" s="72"/>
      <c r="N251" s="73"/>
      <c r="O251" s="74"/>
      <c r="P251" s="75">
        <f t="shared" si="23"/>
      </c>
      <c r="Q251" s="76"/>
      <c r="S251" s="110"/>
      <c r="T251" s="12"/>
      <c r="U251" s="12"/>
      <c r="V251" s="12"/>
      <c r="W251" s="19"/>
      <c r="X251" s="111"/>
    </row>
    <row r="252" spans="1:24" ht="12.75" hidden="1" outlineLevel="1">
      <c r="A252" s="60"/>
      <c r="B252" s="61"/>
      <c r="C252" s="135">
        <v>7</v>
      </c>
      <c r="D252" s="63">
        <f>+C251*C252</f>
        <v>66.5</v>
      </c>
      <c r="E252" s="77"/>
      <c r="F252" s="33"/>
      <c r="G252" s="42"/>
      <c r="H252" s="43"/>
      <c r="I252" s="43"/>
      <c r="J252" s="36"/>
      <c r="K252" s="37">
        <f t="shared" si="24"/>
      </c>
      <c r="L252" s="31"/>
      <c r="M252" s="72"/>
      <c r="N252" s="73"/>
      <c r="O252" s="74"/>
      <c r="P252" s="75">
        <f t="shared" si="23"/>
      </c>
      <c r="Q252" s="76"/>
      <c r="S252" s="110"/>
      <c r="T252" s="12"/>
      <c r="U252" s="12"/>
      <c r="V252" s="12"/>
      <c r="W252" s="19"/>
      <c r="X252" s="111"/>
    </row>
    <row r="253" spans="1:24" ht="12.75" hidden="1" outlineLevel="1">
      <c r="A253" s="60"/>
      <c r="B253" s="61">
        <v>-6</v>
      </c>
      <c r="C253" s="62">
        <v>1</v>
      </c>
      <c r="D253" s="63"/>
      <c r="E253" s="77"/>
      <c r="F253" s="33"/>
      <c r="G253" s="42"/>
      <c r="H253" s="43"/>
      <c r="I253" s="43"/>
      <c r="J253" s="36"/>
      <c r="K253" s="37">
        <f t="shared" si="24"/>
      </c>
      <c r="L253" s="31"/>
      <c r="M253" s="72"/>
      <c r="N253" s="73"/>
      <c r="O253" s="74"/>
      <c r="P253" s="75">
        <f t="shared" si="23"/>
      </c>
      <c r="Q253" s="76"/>
      <c r="S253" s="110"/>
      <c r="T253" s="12"/>
      <c r="U253" s="12"/>
      <c r="V253" s="12"/>
      <c r="W253" s="19"/>
      <c r="X253" s="111"/>
    </row>
    <row r="254" spans="1:24" ht="12.75" hidden="1" outlineLevel="1">
      <c r="A254" s="60"/>
      <c r="B254" s="61"/>
      <c r="C254" s="135">
        <v>2</v>
      </c>
      <c r="D254" s="63">
        <f>+C254*C253*B253</f>
        <v>-12</v>
      </c>
      <c r="E254" s="77"/>
      <c r="F254" s="33"/>
      <c r="G254" s="42"/>
      <c r="H254" s="43"/>
      <c r="I254" s="43"/>
      <c r="J254" s="36"/>
      <c r="K254" s="37">
        <f t="shared" si="24"/>
      </c>
      <c r="L254" s="31"/>
      <c r="M254" s="72"/>
      <c r="N254" s="73"/>
      <c r="O254" s="74"/>
      <c r="P254" s="75">
        <f t="shared" si="23"/>
      </c>
      <c r="Q254" s="76"/>
      <c r="S254" s="110"/>
      <c r="T254" s="12"/>
      <c r="U254" s="12"/>
      <c r="V254" s="12"/>
      <c r="W254" s="19"/>
      <c r="X254" s="111"/>
    </row>
    <row r="255" spans="1:24" ht="12.75" hidden="1" outlineLevel="1">
      <c r="A255" s="60"/>
      <c r="B255" s="61">
        <v>-1</v>
      </c>
      <c r="C255" s="62">
        <v>0.9</v>
      </c>
      <c r="D255" s="63"/>
      <c r="E255" s="77"/>
      <c r="F255" s="33"/>
      <c r="G255" s="42"/>
      <c r="H255" s="43"/>
      <c r="I255" s="43"/>
      <c r="J255" s="36"/>
      <c r="K255" s="37">
        <f t="shared" si="24"/>
      </c>
      <c r="L255" s="31"/>
      <c r="M255" s="72"/>
      <c r="N255" s="73"/>
      <c r="O255" s="74"/>
      <c r="P255" s="75">
        <f t="shared" si="23"/>
      </c>
      <c r="Q255" s="76"/>
      <c r="S255" s="110"/>
      <c r="T255" s="12"/>
      <c r="U255" s="12"/>
      <c r="V255" s="12"/>
      <c r="W255" s="19"/>
      <c r="X255" s="111"/>
    </row>
    <row r="256" spans="1:24" ht="12.75" hidden="1" outlineLevel="1">
      <c r="A256" s="60"/>
      <c r="B256" s="61"/>
      <c r="C256" s="135">
        <v>2.1</v>
      </c>
      <c r="D256" s="63">
        <f>+C256*C255*B255</f>
        <v>-1.8900000000000001</v>
      </c>
      <c r="E256" s="77"/>
      <c r="F256" s="33"/>
      <c r="G256" s="42"/>
      <c r="H256" s="43"/>
      <c r="I256" s="43"/>
      <c r="J256" s="36"/>
      <c r="K256" s="37">
        <f t="shared" si="24"/>
      </c>
      <c r="L256" s="31"/>
      <c r="M256" s="72"/>
      <c r="N256" s="73"/>
      <c r="O256" s="74"/>
      <c r="P256" s="75">
        <f t="shared" si="23"/>
      </c>
      <c r="Q256" s="76"/>
      <c r="S256" s="110"/>
      <c r="T256" s="12"/>
      <c r="U256" s="12"/>
      <c r="V256" s="12"/>
      <c r="W256" s="19"/>
      <c r="X256" s="111"/>
    </row>
    <row r="257" spans="1:24" ht="12.75" hidden="1" outlineLevel="1">
      <c r="A257" s="60"/>
      <c r="B257" s="61"/>
      <c r="C257" s="62"/>
      <c r="D257" s="63"/>
      <c r="E257" s="77"/>
      <c r="F257" s="33"/>
      <c r="G257" s="42"/>
      <c r="H257" s="43"/>
      <c r="I257" s="43"/>
      <c r="J257" s="36"/>
      <c r="K257" s="37">
        <f aca="true" t="shared" si="25" ref="K257:K265">+IF(F257="item",J257,IF(F257&lt;&gt;0,F257*J257,""))</f>
      </c>
      <c r="L257" s="31"/>
      <c r="M257" s="72"/>
      <c r="N257" s="73"/>
      <c r="O257" s="74"/>
      <c r="P257" s="75"/>
      <c r="Q257" s="76"/>
      <c r="S257" s="110"/>
      <c r="T257" s="12"/>
      <c r="U257" s="12"/>
      <c r="V257" s="12"/>
      <c r="W257" s="19"/>
      <c r="X257" s="111"/>
    </row>
    <row r="258" spans="1:24" ht="12.75" hidden="1" outlineLevel="1">
      <c r="A258" s="60"/>
      <c r="B258" s="61"/>
      <c r="C258" s="62"/>
      <c r="D258" s="65">
        <f>SUM(D251:D257)</f>
        <v>52.61</v>
      </c>
      <c r="E258" s="77"/>
      <c r="F258" s="33"/>
      <c r="G258" s="42"/>
      <c r="H258" s="43"/>
      <c r="I258" s="43"/>
      <c r="J258" s="36"/>
      <c r="K258" s="37">
        <f t="shared" si="25"/>
      </c>
      <c r="L258" s="31"/>
      <c r="M258" s="72"/>
      <c r="N258" s="73"/>
      <c r="O258" s="74"/>
      <c r="P258" s="75"/>
      <c r="Q258" s="76"/>
      <c r="S258" s="110"/>
      <c r="T258" s="12"/>
      <c r="U258" s="12"/>
      <c r="V258" s="12"/>
      <c r="W258" s="19"/>
      <c r="X258" s="111"/>
    </row>
    <row r="259" spans="1:24" ht="12.75" hidden="1" outlineLevel="1">
      <c r="A259" s="60"/>
      <c r="B259" s="61"/>
      <c r="C259" s="62"/>
      <c r="D259" s="65"/>
      <c r="E259" s="77"/>
      <c r="F259" s="33"/>
      <c r="G259" s="42"/>
      <c r="H259" s="43"/>
      <c r="I259" s="43"/>
      <c r="J259" s="36"/>
      <c r="K259" s="37">
        <f t="shared" si="25"/>
      </c>
      <c r="L259" s="31"/>
      <c r="M259" s="72"/>
      <c r="N259" s="73"/>
      <c r="O259" s="74"/>
      <c r="P259" s="75"/>
      <c r="Q259" s="76"/>
      <c r="S259" s="110"/>
      <c r="T259" s="12"/>
      <c r="U259" s="12"/>
      <c r="V259" s="12"/>
      <c r="W259" s="19"/>
      <c r="X259" s="111"/>
    </row>
    <row r="260" spans="1:24" ht="12.75" hidden="1" outlineLevel="1">
      <c r="A260" s="60"/>
      <c r="B260" s="61"/>
      <c r="C260" s="62"/>
      <c r="D260" s="65"/>
      <c r="E260" s="44" t="s">
        <v>410</v>
      </c>
      <c r="F260" s="33">
        <v>15</v>
      </c>
      <c r="G260" s="42" t="s">
        <v>108</v>
      </c>
      <c r="H260" s="43">
        <v>0.1</v>
      </c>
      <c r="I260" s="43"/>
      <c r="J260" s="36">
        <f>IF(+I260+H260&gt;0,I260+(H260*labour),"")</f>
        <v>3</v>
      </c>
      <c r="K260" s="37">
        <f t="shared" si="25"/>
        <v>45</v>
      </c>
      <c r="L260" s="31"/>
      <c r="M260" s="72"/>
      <c r="N260" s="73"/>
      <c r="O260" s="74"/>
      <c r="P260" s="75"/>
      <c r="Q260" s="76"/>
      <c r="S260" s="110"/>
      <c r="T260" s="12"/>
      <c r="U260" s="12"/>
      <c r="V260" s="12"/>
      <c r="W260" s="19"/>
      <c r="X260" s="111"/>
    </row>
    <row r="261" spans="1:24" ht="12.75" hidden="1" outlineLevel="1">
      <c r="A261" s="60"/>
      <c r="B261" s="61"/>
      <c r="C261" s="62"/>
      <c r="D261" s="65"/>
      <c r="E261" s="77"/>
      <c r="F261" s="33"/>
      <c r="G261" s="42"/>
      <c r="H261" s="43"/>
      <c r="I261" s="43"/>
      <c r="J261" s="36"/>
      <c r="K261" s="37">
        <f t="shared" si="25"/>
      </c>
      <c r="L261" s="31"/>
      <c r="M261" s="72"/>
      <c r="N261" s="73"/>
      <c r="O261" s="74"/>
      <c r="P261" s="75"/>
      <c r="Q261" s="76"/>
      <c r="S261" s="110"/>
      <c r="T261" s="12"/>
      <c r="U261" s="12"/>
      <c r="V261" s="12"/>
      <c r="W261" s="19"/>
      <c r="X261" s="111"/>
    </row>
    <row r="262" spans="1:24" ht="25.5" hidden="1" outlineLevel="1">
      <c r="A262" s="60"/>
      <c r="B262" s="61"/>
      <c r="C262" s="62"/>
      <c r="D262" s="65"/>
      <c r="E262" s="44" t="s">
        <v>329</v>
      </c>
      <c r="F262" s="33" t="s">
        <v>1</v>
      </c>
      <c r="G262" s="42"/>
      <c r="H262" s="43">
        <v>16</v>
      </c>
      <c r="I262" s="43">
        <v>150</v>
      </c>
      <c r="J262" s="36">
        <f>IF(+I262+H262&gt;0,I262+(H262*labour),"")</f>
        <v>630</v>
      </c>
      <c r="K262" s="37">
        <f t="shared" si="25"/>
        <v>630</v>
      </c>
      <c r="L262" s="31"/>
      <c r="M262" s="72"/>
      <c r="N262" s="73"/>
      <c r="O262" s="74"/>
      <c r="P262" s="75"/>
      <c r="Q262" s="76"/>
      <c r="S262" s="110"/>
      <c r="T262" s="12"/>
      <c r="U262" s="12"/>
      <c r="V262" s="12"/>
      <c r="W262" s="19"/>
      <c r="X262" s="111"/>
    </row>
    <row r="263" spans="1:24" ht="12.75" hidden="1" outlineLevel="1">
      <c r="A263" s="60"/>
      <c r="B263" s="61"/>
      <c r="C263" s="62"/>
      <c r="D263" s="65"/>
      <c r="E263" s="44"/>
      <c r="F263" s="33"/>
      <c r="G263" s="42"/>
      <c r="H263" s="43"/>
      <c r="I263" s="43"/>
      <c r="J263" s="36"/>
      <c r="K263" s="37">
        <f t="shared" si="25"/>
      </c>
      <c r="L263" s="31"/>
      <c r="M263" s="72"/>
      <c r="N263" s="73"/>
      <c r="O263" s="74"/>
      <c r="P263" s="75"/>
      <c r="Q263" s="76"/>
      <c r="S263" s="110"/>
      <c r="T263" s="12"/>
      <c r="U263" s="12"/>
      <c r="V263" s="12"/>
      <c r="W263" s="19"/>
      <c r="X263" s="111"/>
    </row>
    <row r="264" spans="1:24" ht="12.75" hidden="1" outlineLevel="1">
      <c r="A264" s="60"/>
      <c r="B264" s="61"/>
      <c r="C264" s="62"/>
      <c r="D264" s="65"/>
      <c r="E264" s="44" t="s">
        <v>411</v>
      </c>
      <c r="F264" s="33" t="s">
        <v>1</v>
      </c>
      <c r="G264" s="42"/>
      <c r="H264" s="43"/>
      <c r="I264" s="43"/>
      <c r="J264" s="36">
        <v>250</v>
      </c>
      <c r="K264" s="37">
        <f t="shared" si="25"/>
        <v>250</v>
      </c>
      <c r="L264" s="31"/>
      <c r="M264" s="72"/>
      <c r="N264" s="73"/>
      <c r="O264" s="74"/>
      <c r="P264" s="75"/>
      <c r="Q264" s="76"/>
      <c r="S264" s="110"/>
      <c r="T264" s="12"/>
      <c r="U264" s="12"/>
      <c r="V264" s="12"/>
      <c r="W264" s="19"/>
      <c r="X264" s="111"/>
    </row>
    <row r="265" spans="1:24" ht="12.75" hidden="1" outlineLevel="1">
      <c r="A265" s="60"/>
      <c r="B265" s="61"/>
      <c r="C265" s="62"/>
      <c r="D265" s="65"/>
      <c r="E265" s="77"/>
      <c r="F265" s="33"/>
      <c r="G265" s="42"/>
      <c r="H265" s="43"/>
      <c r="I265" s="43"/>
      <c r="J265" s="36"/>
      <c r="K265" s="37">
        <f t="shared" si="25"/>
      </c>
      <c r="L265" s="31"/>
      <c r="M265" s="72"/>
      <c r="N265" s="73"/>
      <c r="O265" s="74"/>
      <c r="P265" s="75"/>
      <c r="Q265" s="76"/>
      <c r="S265" s="110"/>
      <c r="T265" s="12"/>
      <c r="U265" s="12"/>
      <c r="V265" s="12"/>
      <c r="W265" s="19"/>
      <c r="X265" s="111"/>
    </row>
    <row r="266" spans="1:24" ht="38.25" hidden="1" outlineLevel="1">
      <c r="A266" s="60"/>
      <c r="B266" s="61"/>
      <c r="C266" s="62"/>
      <c r="D266" s="65"/>
      <c r="E266" s="44" t="s">
        <v>412</v>
      </c>
      <c r="F266" s="33">
        <f>+ROUND(D269,0)</f>
        <v>7</v>
      </c>
      <c r="G266" s="42" t="s">
        <v>108</v>
      </c>
      <c r="H266" s="43"/>
      <c r="I266" s="43"/>
      <c r="J266" s="36">
        <v>150</v>
      </c>
      <c r="K266" s="37">
        <f>+IF(F266="item",J266,IF(F266&lt;&gt;0,F266*J266,""))</f>
        <v>1050</v>
      </c>
      <c r="L266" s="31"/>
      <c r="M266" s="33"/>
      <c r="N266" s="42"/>
      <c r="O266" s="36"/>
      <c r="P266" s="37"/>
      <c r="Q266" s="54"/>
      <c r="S266" s="110"/>
      <c r="T266" s="12"/>
      <c r="U266" s="12"/>
      <c r="V266" s="12"/>
      <c r="W266" s="19"/>
      <c r="X266" s="111"/>
    </row>
    <row r="267" spans="1:24" ht="12.75" hidden="1" outlineLevel="1">
      <c r="A267" s="60"/>
      <c r="B267" s="61"/>
      <c r="C267" s="135">
        <v>7</v>
      </c>
      <c r="D267" s="63">
        <f>+C267</f>
        <v>7</v>
      </c>
      <c r="E267" s="77"/>
      <c r="F267" s="33"/>
      <c r="G267" s="42"/>
      <c r="H267" s="43"/>
      <c r="I267" s="43"/>
      <c r="J267" s="36"/>
      <c r="K267" s="37">
        <f>+IF(F267="item",J267,IF(F267&lt;&gt;0,F267*J267,""))</f>
      </c>
      <c r="L267" s="31"/>
      <c r="M267" s="33"/>
      <c r="N267" s="42"/>
      <c r="O267" s="36"/>
      <c r="P267" s="37"/>
      <c r="Q267" s="54"/>
      <c r="S267" s="110"/>
      <c r="T267" s="12"/>
      <c r="U267" s="12"/>
      <c r="V267" s="12"/>
      <c r="W267" s="19"/>
      <c r="X267" s="111"/>
    </row>
    <row r="268" spans="1:24" ht="12.75" hidden="1" outlineLevel="1">
      <c r="A268" s="60"/>
      <c r="B268" s="61"/>
      <c r="C268" s="62"/>
      <c r="D268" s="65"/>
      <c r="E268" s="77"/>
      <c r="F268" s="33"/>
      <c r="G268" s="42"/>
      <c r="H268" s="43"/>
      <c r="I268" s="43"/>
      <c r="J268" s="36"/>
      <c r="K268" s="37"/>
      <c r="L268" s="31"/>
      <c r="M268" s="33"/>
      <c r="N268" s="42"/>
      <c r="O268" s="36"/>
      <c r="P268" s="37"/>
      <c r="Q268" s="54"/>
      <c r="S268" s="110"/>
      <c r="T268" s="12"/>
      <c r="U268" s="12"/>
      <c r="V268" s="12"/>
      <c r="W268" s="19"/>
      <c r="X268" s="111"/>
    </row>
    <row r="269" spans="1:24" ht="12.75" hidden="1" outlineLevel="1">
      <c r="A269" s="60"/>
      <c r="B269" s="61"/>
      <c r="C269" s="62"/>
      <c r="D269" s="65">
        <f>SUM(D267:D268)</f>
        <v>7</v>
      </c>
      <c r="E269" s="77"/>
      <c r="F269" s="33"/>
      <c r="G269" s="42"/>
      <c r="H269" s="43"/>
      <c r="I269" s="43"/>
      <c r="J269" s="36"/>
      <c r="K269" s="37"/>
      <c r="L269" s="31"/>
      <c r="M269" s="33"/>
      <c r="N269" s="42"/>
      <c r="O269" s="36"/>
      <c r="P269" s="37"/>
      <c r="Q269" s="54"/>
      <c r="S269" s="110"/>
      <c r="T269" s="12"/>
      <c r="U269" s="12"/>
      <c r="V269" s="12"/>
      <c r="W269" s="19"/>
      <c r="X269" s="111"/>
    </row>
    <row r="270" spans="1:24" ht="12.75" hidden="1" outlineLevel="1">
      <c r="A270" s="60"/>
      <c r="B270" s="61"/>
      <c r="C270" s="62"/>
      <c r="D270" s="65"/>
      <c r="E270" s="77"/>
      <c r="F270" s="33"/>
      <c r="G270" s="42"/>
      <c r="H270" s="43"/>
      <c r="I270" s="43"/>
      <c r="J270" s="36"/>
      <c r="K270" s="37"/>
      <c r="L270" s="31"/>
      <c r="M270" s="33"/>
      <c r="N270" s="42"/>
      <c r="O270" s="36"/>
      <c r="P270" s="37"/>
      <c r="Q270" s="54"/>
      <c r="S270" s="110"/>
      <c r="T270" s="12"/>
      <c r="U270" s="12"/>
      <c r="V270" s="12"/>
      <c r="W270" s="19"/>
      <c r="X270" s="111"/>
    </row>
    <row r="271" spans="1:24" ht="12.75" hidden="1" outlineLevel="1">
      <c r="A271" s="60"/>
      <c r="B271" s="61"/>
      <c r="C271" s="62"/>
      <c r="D271" s="65"/>
      <c r="E271" s="44" t="s">
        <v>332</v>
      </c>
      <c r="F271" s="33">
        <f>+D252</f>
        <v>66.5</v>
      </c>
      <c r="G271" s="42" t="s">
        <v>35</v>
      </c>
      <c r="H271" s="43"/>
      <c r="I271" s="43"/>
      <c r="J271" s="36">
        <v>15</v>
      </c>
      <c r="K271" s="37">
        <f>+IF(F271="item",J271,IF(F271&lt;&gt;0,F271*J271,""))</f>
        <v>997.5</v>
      </c>
      <c r="L271" s="31"/>
      <c r="M271" s="33"/>
      <c r="N271" s="42"/>
      <c r="O271" s="36"/>
      <c r="P271" s="37"/>
      <c r="Q271" s="54"/>
      <c r="S271" s="110"/>
      <c r="T271" s="12"/>
      <c r="U271" s="12"/>
      <c r="V271" s="12"/>
      <c r="W271" s="19"/>
      <c r="X271" s="111"/>
    </row>
    <row r="272" spans="1:24" ht="12.75" hidden="1" outlineLevel="1">
      <c r="A272" s="60"/>
      <c r="B272" s="61"/>
      <c r="C272" s="62"/>
      <c r="D272" s="65"/>
      <c r="E272" s="77"/>
      <c r="F272" s="33"/>
      <c r="G272" s="42"/>
      <c r="H272" s="43"/>
      <c r="I272" s="43"/>
      <c r="J272" s="36"/>
      <c r="K272" s="37">
        <f>+IF(F272="item",J272,IF(F272&lt;&gt;0,F272*J272,""))</f>
      </c>
      <c r="L272" s="31"/>
      <c r="M272" s="33"/>
      <c r="N272" s="42"/>
      <c r="O272" s="36"/>
      <c r="P272" s="37"/>
      <c r="Q272" s="54"/>
      <c r="S272" s="110"/>
      <c r="T272" s="12"/>
      <c r="U272" s="12"/>
      <c r="V272" s="12"/>
      <c r="W272" s="19"/>
      <c r="X272" s="111"/>
    </row>
    <row r="273" spans="1:24" ht="12.75" hidden="1" outlineLevel="1">
      <c r="A273" s="60"/>
      <c r="B273" s="61"/>
      <c r="C273" s="62"/>
      <c r="D273" s="65"/>
      <c r="E273" s="38" t="s">
        <v>362</v>
      </c>
      <c r="F273" s="33">
        <v>10</v>
      </c>
      <c r="G273" s="34" t="s">
        <v>363</v>
      </c>
      <c r="H273" s="39"/>
      <c r="I273" s="39"/>
      <c r="J273" s="36">
        <f>SUM(K250:K271)</f>
        <v>10922.5</v>
      </c>
      <c r="K273" s="37">
        <f>+J273*F273%</f>
        <v>1092.25</v>
      </c>
      <c r="L273" s="31"/>
      <c r="M273" s="33"/>
      <c r="N273" s="42"/>
      <c r="O273" s="36"/>
      <c r="P273" s="37"/>
      <c r="Q273" s="54"/>
      <c r="S273" s="110"/>
      <c r="T273" s="12"/>
      <c r="U273" s="12"/>
      <c r="V273" s="12"/>
      <c r="W273" s="19"/>
      <c r="X273" s="111"/>
    </row>
    <row r="274" spans="1:24" ht="12.75" hidden="1" outlineLevel="1">
      <c r="A274" s="60"/>
      <c r="B274" s="61"/>
      <c r="C274" s="62"/>
      <c r="D274" s="65"/>
      <c r="E274" s="77"/>
      <c r="F274" s="33"/>
      <c r="G274" s="42"/>
      <c r="H274" s="43"/>
      <c r="I274" s="43"/>
      <c r="J274" s="36"/>
      <c r="K274" s="37"/>
      <c r="L274" s="31"/>
      <c r="M274" s="33"/>
      <c r="N274" s="42"/>
      <c r="O274" s="36"/>
      <c r="P274" s="37"/>
      <c r="Q274" s="54"/>
      <c r="S274" s="110"/>
      <c r="T274" s="12"/>
      <c r="U274" s="12"/>
      <c r="V274" s="12"/>
      <c r="W274" s="19"/>
      <c r="X274" s="111"/>
    </row>
    <row r="275" spans="1:24" ht="12.75" collapsed="1">
      <c r="A275" s="60"/>
      <c r="B275" s="61"/>
      <c r="C275" s="62"/>
      <c r="D275" s="65"/>
      <c r="E275" s="77"/>
      <c r="F275" s="33"/>
      <c r="G275" s="42"/>
      <c r="H275" s="43"/>
      <c r="I275" s="43"/>
      <c r="J275" s="36"/>
      <c r="K275" s="37">
        <f>+IF(F275="item",J275,IF(F275&lt;&gt;0,F275*J275,""))</f>
      </c>
      <c r="L275" s="31"/>
      <c r="M275" s="33"/>
      <c r="N275" s="42"/>
      <c r="O275" s="36"/>
      <c r="P275" s="37"/>
      <c r="Q275" s="54"/>
      <c r="S275" s="110"/>
      <c r="T275" s="12"/>
      <c r="U275" s="12"/>
      <c r="V275" s="12"/>
      <c r="W275" s="19"/>
      <c r="X275" s="111"/>
    </row>
    <row r="276" spans="1:24" ht="63.75">
      <c r="A276" s="60"/>
      <c r="B276" s="61"/>
      <c r="C276" s="62"/>
      <c r="D276" s="65"/>
      <c r="E276" s="77" t="s">
        <v>143</v>
      </c>
      <c r="F276" s="33"/>
      <c r="G276" s="42"/>
      <c r="H276" s="43"/>
      <c r="I276" s="43"/>
      <c r="J276" s="36"/>
      <c r="K276" s="53">
        <f>SUM(K277:K319)</f>
        <v>21520.4</v>
      </c>
      <c r="L276" s="31" t="s">
        <v>423</v>
      </c>
      <c r="M276" s="72"/>
      <c r="N276" s="73"/>
      <c r="O276" s="74"/>
      <c r="P276" s="75">
        <f>+IF(M276="item",O276,IF(M276&lt;&gt;0,M276*O276,""))</f>
      </c>
      <c r="Q276" s="76"/>
      <c r="S276" s="110"/>
      <c r="T276" s="12"/>
      <c r="U276" s="12"/>
      <c r="V276" s="12"/>
      <c r="W276" s="19"/>
      <c r="X276" s="116" t="s">
        <v>265</v>
      </c>
    </row>
    <row r="277" spans="1:24" ht="12.75" hidden="1" outlineLevel="1">
      <c r="A277" s="60"/>
      <c r="B277" s="61"/>
      <c r="C277" s="62"/>
      <c r="D277" s="65"/>
      <c r="E277" s="44" t="s">
        <v>414</v>
      </c>
      <c r="F277" s="33"/>
      <c r="G277" s="42"/>
      <c r="H277" s="43"/>
      <c r="I277" s="43"/>
      <c r="J277" s="36"/>
      <c r="K277" s="37"/>
      <c r="M277" s="72"/>
      <c r="N277" s="73"/>
      <c r="O277" s="74"/>
      <c r="P277" s="75">
        <f>+IF(M277="item",O277,IF(M277&lt;&gt;0,M277*O277,""))</f>
      </c>
      <c r="Q277" s="76"/>
      <c r="S277" s="113"/>
      <c r="T277" s="12"/>
      <c r="U277" s="12"/>
      <c r="V277" s="12"/>
      <c r="W277" s="19"/>
      <c r="X277" s="111"/>
    </row>
    <row r="278" spans="1:24" ht="12.75" hidden="1" outlineLevel="1">
      <c r="A278" s="60"/>
      <c r="B278" s="61"/>
      <c r="C278" s="62"/>
      <c r="D278" s="65"/>
      <c r="E278" s="44"/>
      <c r="F278" s="33"/>
      <c r="G278" s="42"/>
      <c r="H278" s="43"/>
      <c r="I278" s="43"/>
      <c r="J278" s="36"/>
      <c r="K278" s="37"/>
      <c r="L278" s="31"/>
      <c r="M278" s="72"/>
      <c r="N278" s="73"/>
      <c r="O278" s="74"/>
      <c r="P278" s="75">
        <f>+IF(M278="item",O278,IF(M278&lt;&gt;0,M278*O278,""))</f>
      </c>
      <c r="Q278" s="76"/>
      <c r="S278" s="121"/>
      <c r="T278" s="114"/>
      <c r="U278" s="12"/>
      <c r="V278" s="12"/>
      <c r="W278" s="19"/>
      <c r="X278" s="111"/>
    </row>
    <row r="279" spans="1:24" ht="63.75" hidden="1" outlineLevel="1">
      <c r="A279" s="60"/>
      <c r="B279" s="61"/>
      <c r="C279" s="62"/>
      <c r="D279" s="65"/>
      <c r="E279" s="52" t="s">
        <v>180</v>
      </c>
      <c r="F279" s="33">
        <f>+ROUND(D294,0)</f>
        <v>102</v>
      </c>
      <c r="G279" s="42" t="s">
        <v>35</v>
      </c>
      <c r="H279" s="43">
        <v>1</v>
      </c>
      <c r="I279" s="43">
        <f>spacep</f>
        <v>54.60000000000001</v>
      </c>
      <c r="J279" s="36">
        <f>IF(+I279+H279&gt;0,I279+(H279*labour),"")</f>
        <v>84.60000000000001</v>
      </c>
      <c r="K279" s="37">
        <f>+IF(F279="item",J279,IF(F279&lt;&gt;0,F279*J279,""))</f>
        <v>8629.2</v>
      </c>
      <c r="L279" s="31" t="s">
        <v>413</v>
      </c>
      <c r="M279" s="72"/>
      <c r="N279" s="73"/>
      <c r="O279" s="74"/>
      <c r="P279" s="75">
        <f>+IF(M279="item",O279,IF(M279&lt;&gt;0,M279*O279,""))</f>
      </c>
      <c r="Q279" s="76"/>
      <c r="S279" s="110"/>
      <c r="T279" s="12"/>
      <c r="U279" s="12"/>
      <c r="V279" s="12"/>
      <c r="W279" s="19"/>
      <c r="X279" s="111"/>
    </row>
    <row r="280" spans="1:24" ht="12.75" hidden="1" outlineLevel="1">
      <c r="A280" s="60"/>
      <c r="B280" s="61"/>
      <c r="C280" s="62"/>
      <c r="D280" s="65"/>
      <c r="E280" s="44"/>
      <c r="F280" s="33"/>
      <c r="G280" s="42"/>
      <c r="H280" s="43"/>
      <c r="I280" s="43"/>
      <c r="J280" s="36"/>
      <c r="K280" s="37"/>
      <c r="L280" s="31"/>
      <c r="M280" s="72"/>
      <c r="N280" s="73"/>
      <c r="O280" s="74"/>
      <c r="P280" s="75">
        <f>+IF(M280="item",O280,IF(M280&lt;&gt;0,M280*O280,""))</f>
      </c>
      <c r="Q280" s="76"/>
      <c r="S280" s="110"/>
      <c r="T280" s="12"/>
      <c r="U280" s="12"/>
      <c r="V280" s="12"/>
      <c r="W280" s="19"/>
      <c r="X280" s="111"/>
    </row>
    <row r="281" spans="1:24" ht="12.75" hidden="1" outlineLevel="1">
      <c r="A281" s="60"/>
      <c r="B281" s="61">
        <v>2</v>
      </c>
      <c r="C281" s="62">
        <v>15</v>
      </c>
      <c r="D281" s="63"/>
      <c r="E281" s="77"/>
      <c r="F281" s="33"/>
      <c r="G281" s="42"/>
      <c r="H281" s="43"/>
      <c r="I281" s="43"/>
      <c r="J281" s="36"/>
      <c r="K281" s="37">
        <f aca="true" t="shared" si="26" ref="K281:K286">+IF(F281="item",J281,IF(F281&lt;&gt;0,F281*J281,""))</f>
      </c>
      <c r="L281" s="31"/>
      <c r="M281" s="72"/>
      <c r="N281" s="73"/>
      <c r="O281" s="74"/>
      <c r="P281" s="75">
        <f aca="true" t="shared" si="27" ref="P281:P286">+IF(M281="item",O281,IF(M281&lt;&gt;0,M281*O281,""))</f>
      </c>
      <c r="Q281" s="76"/>
      <c r="S281" s="110"/>
      <c r="T281" s="12"/>
      <c r="U281" s="12"/>
      <c r="V281" s="12"/>
      <c r="W281" s="19"/>
      <c r="X281" s="111"/>
    </row>
    <row r="282" spans="1:24" ht="12.75" hidden="1" outlineLevel="1">
      <c r="A282" s="60"/>
      <c r="B282" s="61"/>
      <c r="C282" s="135">
        <v>6.1</v>
      </c>
      <c r="D282" s="63">
        <f>+C282*C281*B281</f>
        <v>183</v>
      </c>
      <c r="E282" s="77"/>
      <c r="F282" s="33"/>
      <c r="G282" s="42"/>
      <c r="H282" s="43"/>
      <c r="I282" s="43"/>
      <c r="J282" s="36"/>
      <c r="K282" s="37">
        <f t="shared" si="26"/>
      </c>
      <c r="L282" s="31"/>
      <c r="M282" s="72"/>
      <c r="N282" s="73"/>
      <c r="O282" s="74"/>
      <c r="P282" s="75">
        <f t="shared" si="27"/>
      </c>
      <c r="Q282" s="76"/>
      <c r="S282" s="110"/>
      <c r="T282" s="12"/>
      <c r="U282" s="12"/>
      <c r="V282" s="12"/>
      <c r="W282" s="19"/>
      <c r="X282" s="111"/>
    </row>
    <row r="283" spans="1:24" ht="12.75" hidden="1" outlineLevel="1">
      <c r="A283" s="60"/>
      <c r="B283" s="61">
        <v>-14</v>
      </c>
      <c r="C283" s="62">
        <v>1</v>
      </c>
      <c r="D283" s="63"/>
      <c r="E283" s="77"/>
      <c r="F283" s="33"/>
      <c r="G283" s="42"/>
      <c r="H283" s="43"/>
      <c r="I283" s="43"/>
      <c r="J283" s="36"/>
      <c r="K283" s="37">
        <f t="shared" si="26"/>
      </c>
      <c r="L283" s="31"/>
      <c r="M283" s="72"/>
      <c r="N283" s="73"/>
      <c r="O283" s="74"/>
      <c r="P283" s="75">
        <f t="shared" si="27"/>
      </c>
      <c r="Q283" s="76"/>
      <c r="S283" s="110"/>
      <c r="T283" s="12"/>
      <c r="U283" s="12"/>
      <c r="V283" s="12"/>
      <c r="W283" s="19"/>
      <c r="X283" s="111"/>
    </row>
    <row r="284" spans="1:24" ht="12.75" hidden="1" outlineLevel="1">
      <c r="A284" s="60"/>
      <c r="B284" s="61"/>
      <c r="C284" s="135">
        <v>2</v>
      </c>
      <c r="D284" s="63">
        <f>+C284*C283*B283</f>
        <v>-28</v>
      </c>
      <c r="E284" s="77"/>
      <c r="F284" s="33"/>
      <c r="G284" s="42"/>
      <c r="H284" s="43"/>
      <c r="I284" s="43"/>
      <c r="J284" s="36"/>
      <c r="K284" s="37">
        <f t="shared" si="26"/>
      </c>
      <c r="L284" s="31"/>
      <c r="M284" s="72"/>
      <c r="N284" s="73"/>
      <c r="O284" s="74"/>
      <c r="P284" s="75">
        <f t="shared" si="27"/>
      </c>
      <c r="Q284" s="76"/>
      <c r="S284" s="110"/>
      <c r="T284" s="12"/>
      <c r="U284" s="12"/>
      <c r="V284" s="12"/>
      <c r="W284" s="19"/>
      <c r="X284" s="111"/>
    </row>
    <row r="285" spans="1:24" ht="12.75" hidden="1" outlineLevel="1">
      <c r="A285" s="60"/>
      <c r="B285" s="61">
        <v>-2</v>
      </c>
      <c r="C285" s="62">
        <v>0.9</v>
      </c>
      <c r="D285" s="63"/>
      <c r="E285" s="77"/>
      <c r="F285" s="33"/>
      <c r="G285" s="42"/>
      <c r="H285" s="43"/>
      <c r="I285" s="43"/>
      <c r="J285" s="36"/>
      <c r="K285" s="37">
        <f t="shared" si="26"/>
      </c>
      <c r="L285" s="31"/>
      <c r="M285" s="72"/>
      <c r="N285" s="73"/>
      <c r="O285" s="74"/>
      <c r="P285" s="75">
        <f t="shared" si="27"/>
      </c>
      <c r="Q285" s="76"/>
      <c r="S285" s="110"/>
      <c r="T285" s="12"/>
      <c r="U285" s="12"/>
      <c r="V285" s="12"/>
      <c r="W285" s="19"/>
      <c r="X285" s="111"/>
    </row>
    <row r="286" spans="1:24" ht="12.75" hidden="1" outlineLevel="1">
      <c r="A286" s="60"/>
      <c r="B286" s="61"/>
      <c r="C286" s="135">
        <v>2.1</v>
      </c>
      <c r="D286" s="63">
        <f>+C286*C285*B285</f>
        <v>-3.7800000000000002</v>
      </c>
      <c r="E286" s="77"/>
      <c r="F286" s="33"/>
      <c r="G286" s="42"/>
      <c r="H286" s="43"/>
      <c r="I286" s="43"/>
      <c r="J286" s="36"/>
      <c r="K286" s="37">
        <f t="shared" si="26"/>
      </c>
      <c r="L286" s="31"/>
      <c r="M286" s="72"/>
      <c r="N286" s="73"/>
      <c r="O286" s="74"/>
      <c r="P286" s="75">
        <f t="shared" si="27"/>
      </c>
      <c r="Q286" s="76"/>
      <c r="S286" s="110"/>
      <c r="T286" s="12"/>
      <c r="U286" s="12"/>
      <c r="V286" s="12"/>
      <c r="W286" s="19"/>
      <c r="X286" s="111"/>
    </row>
    <row r="287" spans="1:24" ht="12.75" hidden="1" outlineLevel="1">
      <c r="A287" s="60"/>
      <c r="B287" s="61">
        <v>-5</v>
      </c>
      <c r="C287" s="62">
        <v>6.1</v>
      </c>
      <c r="D287" s="63"/>
      <c r="E287" s="44" t="s">
        <v>419</v>
      </c>
      <c r="F287" s="33"/>
      <c r="G287" s="42"/>
      <c r="H287" s="43"/>
      <c r="I287" s="43"/>
      <c r="J287" s="36"/>
      <c r="K287" s="37"/>
      <c r="L287" s="31"/>
      <c r="M287" s="72"/>
      <c r="N287" s="73"/>
      <c r="O287" s="74"/>
      <c r="P287" s="75"/>
      <c r="Q287" s="76"/>
      <c r="S287" s="110"/>
      <c r="T287" s="12"/>
      <c r="U287" s="12"/>
      <c r="V287" s="12"/>
      <c r="W287" s="19"/>
      <c r="X287" s="111"/>
    </row>
    <row r="288" spans="1:24" ht="12.75" hidden="1" outlineLevel="1">
      <c r="A288" s="60"/>
      <c r="B288" s="61"/>
      <c r="C288" s="135">
        <v>0.3</v>
      </c>
      <c r="D288" s="63">
        <f>+C288*C287*B287</f>
        <v>-9.149999999999999</v>
      </c>
      <c r="E288" s="44"/>
      <c r="F288" s="33"/>
      <c r="G288" s="42"/>
      <c r="H288" s="43"/>
      <c r="I288" s="43"/>
      <c r="J288" s="36"/>
      <c r="K288" s="37"/>
      <c r="L288" s="31"/>
      <c r="M288" s="72"/>
      <c r="N288" s="73"/>
      <c r="O288" s="74"/>
      <c r="P288" s="75"/>
      <c r="Q288" s="76"/>
      <c r="S288" s="110"/>
      <c r="T288" s="12"/>
      <c r="U288" s="12"/>
      <c r="V288" s="12"/>
      <c r="W288" s="19"/>
      <c r="X288" s="111"/>
    </row>
    <row r="289" spans="1:24" ht="12.75" hidden="1" outlineLevel="1">
      <c r="A289" s="60"/>
      <c r="B289" s="61">
        <v>2</v>
      </c>
      <c r="C289" s="62">
        <v>0.4</v>
      </c>
      <c r="D289" s="63"/>
      <c r="E289" s="44"/>
      <c r="F289" s="33"/>
      <c r="G289" s="42"/>
      <c r="H289" s="43"/>
      <c r="I289" s="43"/>
      <c r="J289" s="36"/>
      <c r="K289" s="37"/>
      <c r="L289" s="31"/>
      <c r="M289" s="72"/>
      <c r="N289" s="73"/>
      <c r="O289" s="74"/>
      <c r="P289" s="75"/>
      <c r="Q289" s="76"/>
      <c r="S289" s="110"/>
      <c r="T289" s="12"/>
      <c r="U289" s="12"/>
      <c r="V289" s="12"/>
      <c r="W289" s="19"/>
      <c r="X289" s="111"/>
    </row>
    <row r="290" spans="1:24" ht="12.75" hidden="1" outlineLevel="1">
      <c r="A290" s="60"/>
      <c r="B290" s="61"/>
      <c r="C290" s="135">
        <v>5</v>
      </c>
      <c r="D290" s="63">
        <f>+C290*C289*B289</f>
        <v>4</v>
      </c>
      <c r="E290" s="44" t="s">
        <v>420</v>
      </c>
      <c r="F290" s="33"/>
      <c r="G290" s="42"/>
      <c r="H290" s="43"/>
      <c r="I290" s="43"/>
      <c r="J290" s="36"/>
      <c r="K290" s="37"/>
      <c r="L290" s="31"/>
      <c r="M290" s="72"/>
      <c r="N290" s="73"/>
      <c r="O290" s="74"/>
      <c r="P290" s="75"/>
      <c r="Q290" s="76"/>
      <c r="S290" s="110"/>
      <c r="T290" s="12"/>
      <c r="U290" s="12"/>
      <c r="V290" s="12"/>
      <c r="W290" s="19"/>
      <c r="X290" s="111"/>
    </row>
    <row r="291" spans="1:24" ht="12.75" hidden="1" outlineLevel="1">
      <c r="A291" s="60"/>
      <c r="B291" s="61"/>
      <c r="C291" s="62"/>
      <c r="D291" s="63"/>
      <c r="E291" s="44"/>
      <c r="F291" s="33"/>
      <c r="G291" s="42"/>
      <c r="H291" s="43"/>
      <c r="I291" s="43"/>
      <c r="J291" s="36"/>
      <c r="K291" s="37"/>
      <c r="L291" s="31"/>
      <c r="M291" s="72"/>
      <c r="N291" s="73"/>
      <c r="O291" s="74"/>
      <c r="P291" s="75"/>
      <c r="Q291" s="76"/>
      <c r="S291" s="110"/>
      <c r="T291" s="12"/>
      <c r="U291" s="12"/>
      <c r="V291" s="12"/>
      <c r="W291" s="19"/>
      <c r="X291" s="111"/>
    </row>
    <row r="292" spans="1:24" ht="12.75" hidden="1" outlineLevel="1">
      <c r="A292" s="60"/>
      <c r="B292" s="61"/>
      <c r="C292" s="62"/>
      <c r="D292" s="63">
        <f>-D298</f>
        <v>-43.919999999999995</v>
      </c>
      <c r="E292" s="44" t="s">
        <v>418</v>
      </c>
      <c r="F292" s="33"/>
      <c r="G292" s="42"/>
      <c r="H292" s="43"/>
      <c r="I292" s="43"/>
      <c r="J292" s="36"/>
      <c r="K292" s="37"/>
      <c r="L292" s="31"/>
      <c r="M292" s="72"/>
      <c r="N292" s="73"/>
      <c r="O292" s="74"/>
      <c r="P292" s="75"/>
      <c r="Q292" s="76"/>
      <c r="S292" s="110"/>
      <c r="T292" s="12"/>
      <c r="U292" s="12"/>
      <c r="V292" s="12"/>
      <c r="W292" s="19"/>
      <c r="X292" s="111"/>
    </row>
    <row r="293" spans="1:24" ht="12.75" hidden="1" outlineLevel="1">
      <c r="A293" s="60"/>
      <c r="B293" s="61"/>
      <c r="C293" s="62"/>
      <c r="D293" s="63"/>
      <c r="E293" s="44"/>
      <c r="F293" s="33"/>
      <c r="G293" s="42"/>
      <c r="H293" s="43"/>
      <c r="I293" s="43"/>
      <c r="J293" s="36"/>
      <c r="K293" s="37"/>
      <c r="L293" s="31"/>
      <c r="M293" s="72"/>
      <c r="N293" s="73"/>
      <c r="O293" s="74"/>
      <c r="P293" s="75"/>
      <c r="Q293" s="76"/>
      <c r="S293" s="110"/>
      <c r="T293" s="12"/>
      <c r="U293" s="12"/>
      <c r="V293" s="12"/>
      <c r="W293" s="19"/>
      <c r="X293" s="111"/>
    </row>
    <row r="294" spans="1:24" ht="12.75" hidden="1" outlineLevel="1">
      <c r="A294" s="60"/>
      <c r="B294" s="61"/>
      <c r="C294" s="62"/>
      <c r="D294" s="65">
        <f>SUM(D281:D293)</f>
        <v>102.15</v>
      </c>
      <c r="E294" s="77"/>
      <c r="F294" s="33"/>
      <c r="G294" s="42"/>
      <c r="H294" s="43"/>
      <c r="I294" s="43"/>
      <c r="J294" s="36"/>
      <c r="K294" s="37">
        <f>+IF(F294="item",J294,IF(F294&lt;&gt;0,F294*J294,""))</f>
      </c>
      <c r="L294" s="31"/>
      <c r="M294" s="72"/>
      <c r="N294" s="73"/>
      <c r="O294" s="74"/>
      <c r="P294" s="75"/>
      <c r="Q294" s="76"/>
      <c r="S294" s="110"/>
      <c r="T294" s="12"/>
      <c r="U294" s="12"/>
      <c r="V294" s="12"/>
      <c r="W294" s="19"/>
      <c r="X294" s="111"/>
    </row>
    <row r="295" spans="1:24" ht="12.75" hidden="1" outlineLevel="1">
      <c r="A295" s="60"/>
      <c r="B295" s="61"/>
      <c r="C295" s="62"/>
      <c r="D295" s="65"/>
      <c r="E295" s="98"/>
      <c r="F295" s="33"/>
      <c r="G295" s="42"/>
      <c r="H295" s="43"/>
      <c r="I295" s="43"/>
      <c r="J295" s="36"/>
      <c r="K295" s="37"/>
      <c r="L295" s="6"/>
      <c r="M295" s="72"/>
      <c r="N295" s="73"/>
      <c r="O295" s="74"/>
      <c r="P295" s="75"/>
      <c r="Q295" s="76"/>
      <c r="S295" s="121"/>
      <c r="T295" s="114"/>
      <c r="U295" s="12"/>
      <c r="V295" s="12"/>
      <c r="W295" s="19"/>
      <c r="X295" s="111"/>
    </row>
    <row r="296" spans="1:24" ht="12.75" hidden="1" outlineLevel="1">
      <c r="A296" s="60"/>
      <c r="B296" s="61"/>
      <c r="C296" s="62"/>
      <c r="D296" s="65"/>
      <c r="E296" s="38" t="s">
        <v>415</v>
      </c>
      <c r="F296" s="33">
        <f>+ROUND(D298,0)</f>
        <v>44</v>
      </c>
      <c r="G296" s="42" t="s">
        <v>35</v>
      </c>
      <c r="H296" s="43">
        <v>1</v>
      </c>
      <c r="I296" s="43">
        <f>spacetherm</f>
        <v>46.8</v>
      </c>
      <c r="J296" s="36">
        <f>IF(+I296+H296&gt;0,I296+(H296*labour),"")</f>
        <v>76.8</v>
      </c>
      <c r="K296" s="37">
        <f>+IF(F296="item",J296,IF(F296&lt;&gt;0,F296*J296,""))</f>
        <v>3379.2</v>
      </c>
      <c r="L296" s="6"/>
      <c r="M296" s="72"/>
      <c r="N296" s="73"/>
      <c r="O296" s="74"/>
      <c r="P296" s="75"/>
      <c r="Q296" s="76"/>
      <c r="S296" s="121"/>
      <c r="T296" s="114"/>
      <c r="U296" s="12"/>
      <c r="V296" s="12"/>
      <c r="W296" s="19"/>
      <c r="X296" s="111"/>
    </row>
    <row r="297" spans="1:24" ht="12.75" hidden="1" outlineLevel="1">
      <c r="A297" s="60">
        <v>2</v>
      </c>
      <c r="B297" s="61">
        <v>3</v>
      </c>
      <c r="C297" s="62">
        <v>1.2</v>
      </c>
      <c r="D297" s="65"/>
      <c r="E297" s="98"/>
      <c r="F297" s="33"/>
      <c r="G297" s="42"/>
      <c r="H297" s="43"/>
      <c r="I297" s="43"/>
      <c r="J297" s="36"/>
      <c r="K297" s="37"/>
      <c r="L297" s="6"/>
      <c r="M297" s="72"/>
      <c r="N297" s="73"/>
      <c r="O297" s="74"/>
      <c r="P297" s="75"/>
      <c r="Q297" s="76"/>
      <c r="S297" s="121"/>
      <c r="T297" s="114"/>
      <c r="U297" s="12"/>
      <c r="V297" s="12"/>
      <c r="W297" s="19"/>
      <c r="X297" s="111"/>
    </row>
    <row r="298" spans="1:24" ht="12.75" hidden="1" outlineLevel="1">
      <c r="A298" s="60"/>
      <c r="B298" s="61"/>
      <c r="C298" s="135">
        <v>6.1</v>
      </c>
      <c r="D298" s="65">
        <f>+C298*C297*B297*A297</f>
        <v>43.919999999999995</v>
      </c>
      <c r="E298" s="98"/>
      <c r="F298" s="33"/>
      <c r="G298" s="42"/>
      <c r="H298" s="43"/>
      <c r="I298" s="43"/>
      <c r="J298" s="36"/>
      <c r="K298" s="37"/>
      <c r="L298" s="6"/>
      <c r="M298" s="72"/>
      <c r="N298" s="73"/>
      <c r="O298" s="74"/>
      <c r="P298" s="75"/>
      <c r="Q298" s="76"/>
      <c r="S298" s="121"/>
      <c r="T298" s="114"/>
      <c r="U298" s="12"/>
      <c r="V298" s="12"/>
      <c r="W298" s="19"/>
      <c r="X298" s="111"/>
    </row>
    <row r="299" spans="1:24" ht="12.75" hidden="1" outlineLevel="1">
      <c r="A299" s="60"/>
      <c r="B299" s="61"/>
      <c r="C299" s="62"/>
      <c r="D299" s="65"/>
      <c r="E299" s="98"/>
      <c r="F299" s="33"/>
      <c r="G299" s="42"/>
      <c r="H299" s="43"/>
      <c r="I299" s="43"/>
      <c r="J299" s="36"/>
      <c r="K299" s="37"/>
      <c r="L299" s="6"/>
      <c r="M299" s="72"/>
      <c r="N299" s="73"/>
      <c r="O299" s="74"/>
      <c r="P299" s="75"/>
      <c r="Q299" s="76"/>
      <c r="S299" s="121"/>
      <c r="T299" s="114"/>
      <c r="U299" s="12"/>
      <c r="V299" s="12"/>
      <c r="W299" s="19"/>
      <c r="X299" s="111"/>
    </row>
    <row r="300" spans="1:24" ht="12.75" hidden="1" outlineLevel="1">
      <c r="A300" s="60"/>
      <c r="B300" s="61"/>
      <c r="C300" s="62"/>
      <c r="D300" s="65"/>
      <c r="E300" s="38" t="s">
        <v>417</v>
      </c>
      <c r="F300" s="33">
        <f>+ROUND(D302,0)</f>
        <v>22</v>
      </c>
      <c r="G300" s="42" t="s">
        <v>35</v>
      </c>
      <c r="H300" s="43">
        <v>1</v>
      </c>
      <c r="I300" s="43">
        <f>spacetherm</f>
        <v>46.8</v>
      </c>
      <c r="J300" s="36">
        <f>IF(+I300+H300&gt;0,I300+(H300*labour),"")</f>
        <v>76.8</v>
      </c>
      <c r="K300" s="37">
        <f>+IF(F300="item",J300,IF(F300&lt;&gt;0,F300*J300,""))</f>
        <v>1689.6</v>
      </c>
      <c r="L300" s="6"/>
      <c r="M300" s="72"/>
      <c r="N300" s="73"/>
      <c r="O300" s="74"/>
      <c r="P300" s="75"/>
      <c r="Q300" s="76"/>
      <c r="S300" s="121"/>
      <c r="T300" s="114"/>
      <c r="U300" s="12"/>
      <c r="V300" s="12"/>
      <c r="W300" s="19"/>
      <c r="X300" s="111"/>
    </row>
    <row r="301" spans="1:24" ht="12.75" hidden="1" outlineLevel="1">
      <c r="A301" s="60">
        <v>14</v>
      </c>
      <c r="B301" s="61">
        <v>2</v>
      </c>
      <c r="C301" s="62">
        <v>0.4</v>
      </c>
      <c r="D301" s="65"/>
      <c r="E301" s="98"/>
      <c r="F301" s="33"/>
      <c r="G301" s="42"/>
      <c r="H301" s="43"/>
      <c r="I301" s="43"/>
      <c r="J301" s="36"/>
      <c r="K301" s="37"/>
      <c r="L301" s="6"/>
      <c r="M301" s="72"/>
      <c r="N301" s="73"/>
      <c r="O301" s="74"/>
      <c r="P301" s="75"/>
      <c r="Q301" s="76"/>
      <c r="S301" s="121"/>
      <c r="T301" s="114"/>
      <c r="U301" s="12"/>
      <c r="V301" s="12"/>
      <c r="W301" s="19"/>
      <c r="X301" s="111"/>
    </row>
    <row r="302" spans="1:24" ht="12.75" hidden="1" outlineLevel="1">
      <c r="A302" s="60"/>
      <c r="B302" s="61"/>
      <c r="C302" s="135">
        <v>2</v>
      </c>
      <c r="D302" s="65">
        <f>+C302*C301*B301*A301</f>
        <v>22.400000000000002</v>
      </c>
      <c r="E302" s="98"/>
      <c r="F302" s="33"/>
      <c r="G302" s="42"/>
      <c r="H302" s="43"/>
      <c r="I302" s="43"/>
      <c r="J302" s="36"/>
      <c r="K302" s="37"/>
      <c r="L302" s="6"/>
      <c r="M302" s="72"/>
      <c r="N302" s="73"/>
      <c r="O302" s="74"/>
      <c r="P302" s="75"/>
      <c r="Q302" s="76"/>
      <c r="S302" s="121"/>
      <c r="T302" s="114"/>
      <c r="U302" s="12"/>
      <c r="V302" s="12"/>
      <c r="W302" s="19"/>
      <c r="X302" s="111"/>
    </row>
    <row r="303" spans="1:24" ht="12.75" hidden="1" outlineLevel="1">
      <c r="A303" s="60"/>
      <c r="B303" s="61"/>
      <c r="C303" s="62"/>
      <c r="D303" s="65"/>
      <c r="E303" s="98"/>
      <c r="F303" s="33"/>
      <c r="G303" s="42"/>
      <c r="H303" s="43"/>
      <c r="I303" s="43"/>
      <c r="J303" s="36"/>
      <c r="K303" s="37"/>
      <c r="L303" s="6"/>
      <c r="M303" s="72"/>
      <c r="N303" s="73"/>
      <c r="O303" s="74"/>
      <c r="P303" s="75"/>
      <c r="Q303" s="76"/>
      <c r="S303" s="121"/>
      <c r="T303" s="114"/>
      <c r="U303" s="12"/>
      <c r="V303" s="12"/>
      <c r="W303" s="19"/>
      <c r="X303" s="111"/>
    </row>
    <row r="304" spans="1:24" ht="12.75" hidden="1" outlineLevel="1">
      <c r="A304" s="60"/>
      <c r="B304" s="61"/>
      <c r="C304" s="62"/>
      <c r="D304" s="65"/>
      <c r="E304" s="38" t="s">
        <v>416</v>
      </c>
      <c r="F304" s="33">
        <f>+F296</f>
        <v>44</v>
      </c>
      <c r="G304" s="42" t="s">
        <v>35</v>
      </c>
      <c r="H304" s="43">
        <v>2</v>
      </c>
      <c r="I304" s="43">
        <v>10</v>
      </c>
      <c r="J304" s="36">
        <f>IF(+I304+H304&gt;0,I304+(H304*labour),"")</f>
        <v>70</v>
      </c>
      <c r="K304" s="37">
        <f>+IF(F304="item",J304,IF(F304&lt;&gt;0,F304*J304,""))</f>
        <v>3080</v>
      </c>
      <c r="L304" s="6"/>
      <c r="M304" s="72"/>
      <c r="N304" s="73"/>
      <c r="O304" s="74"/>
      <c r="P304" s="75"/>
      <c r="Q304" s="76"/>
      <c r="S304" s="121"/>
      <c r="T304" s="114"/>
      <c r="U304" s="12"/>
      <c r="V304" s="12"/>
      <c r="W304" s="19"/>
      <c r="X304" s="111"/>
    </row>
    <row r="305" spans="1:24" ht="12.75" hidden="1" outlineLevel="1">
      <c r="A305" s="60"/>
      <c r="B305" s="61"/>
      <c r="C305" s="62"/>
      <c r="D305" s="65"/>
      <c r="E305" s="98"/>
      <c r="F305" s="33"/>
      <c r="G305" s="42"/>
      <c r="H305" s="43"/>
      <c r="I305" s="43"/>
      <c r="J305" s="36"/>
      <c r="K305" s="37"/>
      <c r="L305" s="6"/>
      <c r="M305" s="72"/>
      <c r="N305" s="73"/>
      <c r="O305" s="74"/>
      <c r="P305" s="75"/>
      <c r="Q305" s="76"/>
      <c r="S305" s="121"/>
      <c r="T305" s="114"/>
      <c r="U305" s="12"/>
      <c r="V305" s="12"/>
      <c r="W305" s="19"/>
      <c r="X305" s="111"/>
    </row>
    <row r="306" spans="1:24" s="200" customFormat="1" ht="25.5" customHeight="1" hidden="1" outlineLevel="1">
      <c r="A306" s="191">
        <v>2</v>
      </c>
      <c r="B306" s="192">
        <v>2</v>
      </c>
      <c r="C306" s="193">
        <v>6.1</v>
      </c>
      <c r="D306" s="194">
        <f>+C306*B306*A306</f>
        <v>24.4</v>
      </c>
      <c r="E306" s="195" t="s">
        <v>421</v>
      </c>
      <c r="F306" s="14">
        <v>24</v>
      </c>
      <c r="G306" s="196" t="s">
        <v>108</v>
      </c>
      <c r="H306" s="197">
        <v>0.75</v>
      </c>
      <c r="I306" s="197">
        <v>10</v>
      </c>
      <c r="J306" s="198">
        <f>IF(+I306+H306&gt;0,I306+(H306*labour),"")</f>
        <v>32.5</v>
      </c>
      <c r="K306" s="199">
        <f>+IF(F306="item",J306,IF(F306&lt;&gt;0,F306*J306,""))</f>
        <v>780</v>
      </c>
      <c r="M306" s="201"/>
      <c r="N306" s="202"/>
      <c r="O306" s="203"/>
      <c r="P306" s="204"/>
      <c r="Q306" s="76"/>
      <c r="S306" s="121"/>
      <c r="T306" s="205"/>
      <c r="U306" s="206"/>
      <c r="V306" s="206"/>
      <c r="W306" s="198"/>
      <c r="X306" s="207"/>
    </row>
    <row r="307" spans="1:24" ht="12.75" hidden="1" outlineLevel="1">
      <c r="A307" s="60"/>
      <c r="B307" s="61"/>
      <c r="C307" s="62"/>
      <c r="D307" s="65"/>
      <c r="E307" s="98"/>
      <c r="F307" s="33"/>
      <c r="G307" s="42"/>
      <c r="H307" s="43"/>
      <c r="I307" s="43"/>
      <c r="J307" s="36"/>
      <c r="K307" s="37"/>
      <c r="L307" s="6"/>
      <c r="M307" s="72"/>
      <c r="N307" s="73"/>
      <c r="O307" s="74"/>
      <c r="P307" s="75"/>
      <c r="Q307" s="76"/>
      <c r="S307" s="121"/>
      <c r="T307" s="114"/>
      <c r="U307" s="12"/>
      <c r="V307" s="12"/>
      <c r="W307" s="19"/>
      <c r="X307" s="111"/>
    </row>
    <row r="308" spans="1:24" ht="12.75" hidden="1" outlineLevel="1">
      <c r="A308" s="60"/>
      <c r="B308" s="61"/>
      <c r="C308" s="62"/>
      <c r="D308" s="65"/>
      <c r="E308" s="98"/>
      <c r="F308" s="33"/>
      <c r="G308" s="42"/>
      <c r="H308" s="43"/>
      <c r="I308" s="43"/>
      <c r="J308" s="36"/>
      <c r="K308" s="37"/>
      <c r="L308" s="6"/>
      <c r="M308" s="72"/>
      <c r="N308" s="73"/>
      <c r="O308" s="74"/>
      <c r="P308" s="75"/>
      <c r="Q308" s="76"/>
      <c r="S308" s="121"/>
      <c r="T308" s="114"/>
      <c r="U308" s="12"/>
      <c r="V308" s="12"/>
      <c r="W308" s="19"/>
      <c r="X308" s="111"/>
    </row>
    <row r="309" spans="1:24" ht="12.75" hidden="1" outlineLevel="1">
      <c r="A309" s="60"/>
      <c r="B309" s="61"/>
      <c r="C309" s="62"/>
      <c r="D309" s="65"/>
      <c r="E309" s="44" t="s">
        <v>422</v>
      </c>
      <c r="F309" s="33" t="s">
        <v>1</v>
      </c>
      <c r="G309" s="42"/>
      <c r="H309" s="43">
        <v>16</v>
      </c>
      <c r="I309" s="43">
        <v>50</v>
      </c>
      <c r="J309" s="36">
        <f>IF(+I309+H309&gt;0,I309+(H309*labour),"")</f>
        <v>530</v>
      </c>
      <c r="K309" s="37">
        <f>+IF(F309="item",J309,IF(F309&lt;&gt;0,F309*J309,""))</f>
        <v>530</v>
      </c>
      <c r="L309" s="31"/>
      <c r="M309" s="72"/>
      <c r="N309" s="73"/>
      <c r="O309" s="74"/>
      <c r="P309" s="75">
        <f>+IF(M309="item",O309,IF(M309&lt;&gt;0,M309*O309,""))</f>
      </c>
      <c r="Q309" s="76"/>
      <c r="S309" s="121"/>
      <c r="T309" s="114"/>
      <c r="U309" s="12"/>
      <c r="V309" s="12"/>
      <c r="W309" s="19"/>
      <c r="X309" s="111"/>
    </row>
    <row r="310" spans="1:24" ht="12.75" hidden="1" outlineLevel="1">
      <c r="A310" s="60"/>
      <c r="B310" s="61"/>
      <c r="C310" s="62"/>
      <c r="D310" s="65"/>
      <c r="E310" s="44"/>
      <c r="F310" s="33"/>
      <c r="G310" s="42"/>
      <c r="H310" s="43"/>
      <c r="I310" s="43"/>
      <c r="J310" s="36">
        <f>IF(+I310+H310&gt;0,I310+(H310*labour),"")</f>
      </c>
      <c r="K310" s="37">
        <f>+IF(F310="item",J310,IF(F310&lt;&gt;0,F310*J310,""))</f>
      </c>
      <c r="L310" s="31"/>
      <c r="M310" s="72"/>
      <c r="N310" s="73"/>
      <c r="O310" s="74"/>
      <c r="P310" s="75">
        <f>+IF(M310="item",O310,IF(M310&lt;&gt;0,M310*O310,""))</f>
      </c>
      <c r="Q310" s="76"/>
      <c r="S310" s="110"/>
      <c r="T310" s="12"/>
      <c r="U310" s="12"/>
      <c r="V310" s="12"/>
      <c r="W310" s="19"/>
      <c r="X310" s="111"/>
    </row>
    <row r="311" spans="1:24" ht="25.5" hidden="1" outlineLevel="1">
      <c r="A311" s="60"/>
      <c r="B311" s="61"/>
      <c r="C311" s="62"/>
      <c r="D311" s="65"/>
      <c r="E311" s="44" t="s">
        <v>339</v>
      </c>
      <c r="F311" s="33" t="s">
        <v>1</v>
      </c>
      <c r="G311" s="42"/>
      <c r="H311" s="43"/>
      <c r="I311" s="43">
        <v>500</v>
      </c>
      <c r="J311" s="36">
        <f>IF(+I311+H311&gt;0,I311+(H311*labour),"")</f>
        <v>500</v>
      </c>
      <c r="K311" s="37">
        <f>+IF(F311="item",J311,IF(F311&lt;&gt;0,F311*J311,""))</f>
        <v>500</v>
      </c>
      <c r="L311" s="31"/>
      <c r="M311" s="72"/>
      <c r="N311" s="73"/>
      <c r="O311" s="74"/>
      <c r="P311" s="75">
        <f>+IF(M311="item",O311,IF(M311&lt;&gt;0,M311*O311,""))</f>
      </c>
      <c r="Q311" s="76"/>
      <c r="S311" s="121"/>
      <c r="T311" s="114"/>
      <c r="U311" s="12"/>
      <c r="V311" s="12"/>
      <c r="W311" s="19"/>
      <c r="X311" s="111"/>
    </row>
    <row r="312" spans="1:24" ht="12.75" hidden="1" outlineLevel="1">
      <c r="A312" s="60"/>
      <c r="B312" s="61"/>
      <c r="C312" s="62"/>
      <c r="D312" s="65"/>
      <c r="E312" s="44"/>
      <c r="F312" s="33"/>
      <c r="G312" s="42"/>
      <c r="H312" s="43"/>
      <c r="I312" s="43"/>
      <c r="J312" s="36"/>
      <c r="K312" s="37"/>
      <c r="L312" s="31"/>
      <c r="M312" s="72"/>
      <c r="N312" s="73"/>
      <c r="O312" s="74"/>
      <c r="P312" s="75"/>
      <c r="Q312" s="76"/>
      <c r="S312" s="121"/>
      <c r="T312" s="114"/>
      <c r="U312" s="12"/>
      <c r="V312" s="12"/>
      <c r="W312" s="19"/>
      <c r="X312" s="111"/>
    </row>
    <row r="313" spans="1:24" ht="25.5" hidden="1" outlineLevel="1">
      <c r="A313" s="60"/>
      <c r="B313" s="61"/>
      <c r="C313" s="62"/>
      <c r="D313" s="65"/>
      <c r="E313" s="44" t="s">
        <v>439</v>
      </c>
      <c r="F313" s="14">
        <f>+ROUND(D314,0)</f>
        <v>61</v>
      </c>
      <c r="G313" s="196" t="s">
        <v>108</v>
      </c>
      <c r="H313" s="197">
        <v>0.25</v>
      </c>
      <c r="I313" s="197">
        <v>2</v>
      </c>
      <c r="J313" s="198">
        <f>IF(+I313+H313&gt;0,I313+(H313*labour),"")</f>
        <v>9.5</v>
      </c>
      <c r="K313" s="199">
        <f>+IF(F313="item",J313,IF(F313&lt;&gt;0,F313*J313,""))</f>
        <v>579.5</v>
      </c>
      <c r="L313" s="31"/>
      <c r="M313" s="72"/>
      <c r="N313" s="73"/>
      <c r="O313" s="74"/>
      <c r="P313" s="75"/>
      <c r="Q313" s="76"/>
      <c r="S313" s="121"/>
      <c r="T313" s="114"/>
      <c r="U313" s="12"/>
      <c r="V313" s="12"/>
      <c r="W313" s="19"/>
      <c r="X313" s="111"/>
    </row>
    <row r="314" spans="1:24" ht="12.75" hidden="1" outlineLevel="1">
      <c r="A314" s="60">
        <v>2</v>
      </c>
      <c r="B314" s="61">
        <v>5</v>
      </c>
      <c r="C314" s="135">
        <v>6.1</v>
      </c>
      <c r="D314" s="65">
        <f>+C314*B314*A314</f>
        <v>61</v>
      </c>
      <c r="E314" s="44"/>
      <c r="F314" s="33"/>
      <c r="G314" s="42"/>
      <c r="H314" s="43"/>
      <c r="I314" s="43"/>
      <c r="J314" s="36"/>
      <c r="K314" s="37"/>
      <c r="L314" s="31"/>
      <c r="M314" s="72"/>
      <c r="N314" s="73"/>
      <c r="O314" s="74"/>
      <c r="P314" s="75"/>
      <c r="Q314" s="76"/>
      <c r="S314" s="121"/>
      <c r="T314" s="114"/>
      <c r="U314" s="12"/>
      <c r="V314" s="12"/>
      <c r="W314" s="19"/>
      <c r="X314" s="111"/>
    </row>
    <row r="315" spans="1:24" ht="12.75" hidden="1" outlineLevel="1">
      <c r="A315" s="60"/>
      <c r="B315" s="61"/>
      <c r="C315" s="62"/>
      <c r="D315" s="65"/>
      <c r="E315" s="44"/>
      <c r="F315" s="33"/>
      <c r="G315" s="42"/>
      <c r="H315" s="43"/>
      <c r="I315" s="43"/>
      <c r="J315" s="36"/>
      <c r="K315" s="37"/>
      <c r="L315" s="31"/>
      <c r="M315" s="72"/>
      <c r="N315" s="73"/>
      <c r="O315" s="74"/>
      <c r="P315" s="75"/>
      <c r="Q315" s="76"/>
      <c r="S315" s="121"/>
      <c r="T315" s="114"/>
      <c r="U315" s="12"/>
      <c r="V315" s="12"/>
      <c r="W315" s="19"/>
      <c r="X315" s="111"/>
    </row>
    <row r="316" spans="1:24" ht="38.25" customHeight="1" hidden="1" outlineLevel="1">
      <c r="A316" s="60"/>
      <c r="B316" s="61"/>
      <c r="C316" s="62"/>
      <c r="D316" s="65"/>
      <c r="E316" s="44" t="s">
        <v>440</v>
      </c>
      <c r="F316" s="14">
        <f>+F313</f>
        <v>61</v>
      </c>
      <c r="G316" s="196" t="s">
        <v>108</v>
      </c>
      <c r="H316" s="197">
        <v>0.2</v>
      </c>
      <c r="I316" s="197">
        <v>0.5</v>
      </c>
      <c r="J316" s="198">
        <f>IF(+I316+H316&gt;0,I316+(H316*labour),"")</f>
        <v>6.5</v>
      </c>
      <c r="K316" s="199">
        <f>+IF(F316="item",J316,IF(F316&lt;&gt;0,F316*J316,""))</f>
        <v>396.5</v>
      </c>
      <c r="L316" s="31" t="s">
        <v>441</v>
      </c>
      <c r="M316" s="72"/>
      <c r="N316" s="73"/>
      <c r="O316" s="74"/>
      <c r="P316" s="75"/>
      <c r="Q316" s="76"/>
      <c r="S316" s="121"/>
      <c r="T316" s="114"/>
      <c r="U316" s="12"/>
      <c r="V316" s="12"/>
      <c r="W316" s="19"/>
      <c r="X316" s="111"/>
    </row>
    <row r="317" spans="1:24" ht="12.75" hidden="1" outlineLevel="1">
      <c r="A317" s="60"/>
      <c r="B317" s="61"/>
      <c r="C317" s="62"/>
      <c r="D317" s="65"/>
      <c r="E317" s="44"/>
      <c r="F317" s="33"/>
      <c r="G317" s="42"/>
      <c r="H317" s="43"/>
      <c r="I317" s="43"/>
      <c r="J317" s="36"/>
      <c r="K317" s="37"/>
      <c r="L317" s="31"/>
      <c r="M317" s="72"/>
      <c r="N317" s="73"/>
      <c r="O317" s="74"/>
      <c r="P317" s="75"/>
      <c r="Q317" s="76"/>
      <c r="S317" s="121"/>
      <c r="T317" s="114"/>
      <c r="U317" s="12"/>
      <c r="V317" s="12"/>
      <c r="W317" s="19"/>
      <c r="X317" s="111"/>
    </row>
    <row r="318" spans="1:24" ht="12.75" hidden="1" outlineLevel="1">
      <c r="A318" s="60"/>
      <c r="B318" s="61"/>
      <c r="C318" s="62"/>
      <c r="D318" s="65"/>
      <c r="E318" s="44"/>
      <c r="F318" s="33"/>
      <c r="G318" s="42"/>
      <c r="H318" s="43"/>
      <c r="I318" s="43"/>
      <c r="J318" s="36">
        <f>IF(+I318+H318&gt;0,I318+(H318*labour),"")</f>
      </c>
      <c r="K318" s="37">
        <f>+IF(F318="item",J318,IF(F318&lt;&gt;0,F318*J318,""))</f>
      </c>
      <c r="L318" s="31"/>
      <c r="M318" s="72"/>
      <c r="N318" s="73"/>
      <c r="O318" s="74"/>
      <c r="P318" s="75">
        <f>+IF(M318="item",O318,IF(M318&lt;&gt;0,M318*O318,""))</f>
      </c>
      <c r="Q318" s="76"/>
      <c r="S318" s="110"/>
      <c r="T318" s="12"/>
      <c r="U318" s="12"/>
      <c r="V318" s="12"/>
      <c r="W318" s="19"/>
      <c r="X318" s="111"/>
    </row>
    <row r="319" spans="1:24" ht="12.75" hidden="1" outlineLevel="1">
      <c r="A319" s="60"/>
      <c r="B319" s="61"/>
      <c r="C319" s="62"/>
      <c r="D319" s="65"/>
      <c r="E319" s="38" t="s">
        <v>362</v>
      </c>
      <c r="F319" s="33">
        <v>10</v>
      </c>
      <c r="G319" s="34" t="s">
        <v>363</v>
      </c>
      <c r="H319" s="39"/>
      <c r="I319" s="39"/>
      <c r="J319" s="36">
        <f>SUM(K277:K318)</f>
        <v>19564</v>
      </c>
      <c r="K319" s="37">
        <f>+J319*F319%</f>
        <v>1956.4</v>
      </c>
      <c r="L319" s="31"/>
      <c r="M319" s="72"/>
      <c r="N319" s="73"/>
      <c r="O319" s="74"/>
      <c r="P319" s="75"/>
      <c r="Q319" s="76"/>
      <c r="S319" s="121"/>
      <c r="T319" s="114"/>
      <c r="U319" s="12"/>
      <c r="V319" s="12"/>
      <c r="W319" s="19"/>
      <c r="X319" s="111"/>
    </row>
    <row r="320" spans="1:24" ht="12.75" collapsed="1">
      <c r="A320" s="60"/>
      <c r="B320" s="61"/>
      <c r="C320" s="62"/>
      <c r="D320" s="65"/>
      <c r="E320" s="44"/>
      <c r="F320" s="33"/>
      <c r="G320" s="42"/>
      <c r="H320" s="43"/>
      <c r="I320" s="43"/>
      <c r="J320" s="36">
        <f>IF(+I320+H320&gt;0,I320+(H320*labour),"")</f>
      </c>
      <c r="K320" s="37">
        <f>+IF(F320="item",J320,IF(F320&lt;&gt;0,F320*J320,""))</f>
      </c>
      <c r="L320" s="31"/>
      <c r="M320" s="72"/>
      <c r="N320" s="73"/>
      <c r="O320" s="74"/>
      <c r="P320" s="75">
        <f>+IF(M320="item",O320,IF(M320&lt;&gt;0,M320*O320,""))</f>
      </c>
      <c r="Q320" s="76"/>
      <c r="S320" s="110"/>
      <c r="T320" s="12"/>
      <c r="U320" s="12"/>
      <c r="V320" s="12"/>
      <c r="W320" s="19"/>
      <c r="X320" s="111"/>
    </row>
    <row r="321" spans="1:24" ht="12.75">
      <c r="A321" s="60"/>
      <c r="B321" s="61"/>
      <c r="C321" s="62"/>
      <c r="D321" s="65"/>
      <c r="E321" s="77"/>
      <c r="F321" s="33"/>
      <c r="G321" s="42"/>
      <c r="H321" s="43"/>
      <c r="I321" s="43"/>
      <c r="J321" s="36"/>
      <c r="K321" s="37">
        <f>+IF(F321="item",J321,IF(F321&lt;&gt;0,F321*J321,""))</f>
      </c>
      <c r="L321" s="31"/>
      <c r="M321" s="33"/>
      <c r="N321" s="42"/>
      <c r="O321" s="36"/>
      <c r="P321" s="37"/>
      <c r="Q321" s="54"/>
      <c r="S321" s="110"/>
      <c r="T321" s="12"/>
      <c r="U321" s="12"/>
      <c r="V321" s="12"/>
      <c r="W321" s="19"/>
      <c r="X321" s="111"/>
    </row>
    <row r="322" spans="1:24" ht="15.75">
      <c r="A322" s="60"/>
      <c r="B322" s="61"/>
      <c r="C322" s="64"/>
      <c r="D322" s="63"/>
      <c r="E322" s="78" t="s">
        <v>144</v>
      </c>
      <c r="F322" s="79"/>
      <c r="G322" s="80"/>
      <c r="H322" s="81"/>
      <c r="I322" s="81"/>
      <c r="J322" s="82">
        <f>IF(+I322+H322&gt;0,I322+(H322*labour),"")</f>
      </c>
      <c r="K322" s="83">
        <f>+IF(F322="item",J322,IF(F322&lt;&gt;0,F322*J322,""))</f>
      </c>
      <c r="L322" s="84"/>
      <c r="M322" s="79"/>
      <c r="N322" s="80"/>
      <c r="O322" s="82"/>
      <c r="P322" s="83">
        <f>+IF(M322="item",O322,IF(M322&lt;&gt;0,M322*O322,""))</f>
      </c>
      <c r="Q322" s="85"/>
      <c r="R322" s="89"/>
      <c r="S322" s="117"/>
      <c r="T322" s="118"/>
      <c r="U322" s="118"/>
      <c r="V322" s="118"/>
      <c r="W322" s="119"/>
      <c r="X322" s="120"/>
    </row>
    <row r="323" spans="1:24" ht="12.75">
      <c r="A323" s="60"/>
      <c r="B323" s="61"/>
      <c r="C323" s="62"/>
      <c r="D323" s="65"/>
      <c r="E323" s="77"/>
      <c r="F323" s="33"/>
      <c r="G323" s="42"/>
      <c r="H323" s="43"/>
      <c r="I323" s="43"/>
      <c r="J323" s="36"/>
      <c r="K323" s="37">
        <f>+IF(F323="item",J323,IF(F323&lt;&gt;0,F323*J323,""))</f>
      </c>
      <c r="L323" s="31"/>
      <c r="M323" s="33"/>
      <c r="N323" s="42"/>
      <c r="O323" s="36"/>
      <c r="P323" s="37"/>
      <c r="Q323" s="54"/>
      <c r="S323" s="110"/>
      <c r="T323" s="12"/>
      <c r="U323" s="12"/>
      <c r="V323" s="12"/>
      <c r="W323" s="19"/>
      <c r="X323" s="111"/>
    </row>
    <row r="324" spans="1:24" ht="25.5">
      <c r="A324" s="60"/>
      <c r="B324" s="61"/>
      <c r="C324" s="62"/>
      <c r="D324" s="65"/>
      <c r="E324" s="77" t="s">
        <v>145</v>
      </c>
      <c r="F324" s="33"/>
      <c r="G324" s="42"/>
      <c r="H324" s="43"/>
      <c r="I324" s="43"/>
      <c r="J324" s="36"/>
      <c r="K324" s="53">
        <f>SUM(K325:K329)</f>
        <v>5450.5</v>
      </c>
      <c r="L324" s="31" t="s">
        <v>365</v>
      </c>
      <c r="M324" s="72"/>
      <c r="N324" s="73"/>
      <c r="O324" s="74"/>
      <c r="P324" s="75"/>
      <c r="Q324" s="76"/>
      <c r="S324" s="110"/>
      <c r="T324" s="12"/>
      <c r="U324" s="12"/>
      <c r="V324" s="12"/>
      <c r="W324" s="19"/>
      <c r="X324" s="111"/>
    </row>
    <row r="325" spans="1:24" ht="12.75">
      <c r="A325" s="60"/>
      <c r="B325" s="61"/>
      <c r="C325" s="62"/>
      <c r="D325" s="65"/>
      <c r="E325" s="77"/>
      <c r="F325" s="33"/>
      <c r="G325" s="42"/>
      <c r="H325" s="43"/>
      <c r="I325" s="43"/>
      <c r="J325" s="36"/>
      <c r="K325" s="37">
        <f>+IF(F325="item",J325,IF(F325&lt;&gt;0,F325*J325,""))</f>
      </c>
      <c r="L325" s="31"/>
      <c r="M325" s="72"/>
      <c r="N325" s="73"/>
      <c r="O325" s="74"/>
      <c r="P325" s="75"/>
      <c r="Q325" s="76"/>
      <c r="S325" s="110"/>
      <c r="T325" s="12"/>
      <c r="U325" s="12"/>
      <c r="V325" s="12"/>
      <c r="W325" s="19"/>
      <c r="X325" s="111"/>
    </row>
    <row r="326" spans="1:24" ht="12.75" hidden="1" outlineLevel="1">
      <c r="A326" s="60"/>
      <c r="B326" s="61"/>
      <c r="C326" s="62"/>
      <c r="D326" s="65"/>
      <c r="E326" s="44" t="s">
        <v>305</v>
      </c>
      <c r="F326" s="33" t="s">
        <v>1</v>
      </c>
      <c r="G326" s="42"/>
      <c r="H326" s="43"/>
      <c r="I326" s="43"/>
      <c r="J326" s="36">
        <f>+ihybrid18C</f>
        <v>2450.5</v>
      </c>
      <c r="K326" s="37">
        <f>+IF(F326="item",J326,IF(F326&lt;&gt;0,F326*J326,""))</f>
        <v>2450.5</v>
      </c>
      <c r="L326" s="31"/>
      <c r="M326" s="72"/>
      <c r="N326" s="73"/>
      <c r="O326" s="74"/>
      <c r="P326" s="75"/>
      <c r="Q326" s="76"/>
      <c r="S326" s="110"/>
      <c r="T326" s="12"/>
      <c r="U326" s="12"/>
      <c r="V326" s="12"/>
      <c r="W326" s="19"/>
      <c r="X326" s="111"/>
    </row>
    <row r="327" spans="1:24" ht="12.75" hidden="1" outlineLevel="1">
      <c r="A327" s="60"/>
      <c r="B327" s="61"/>
      <c r="C327" s="62"/>
      <c r="D327" s="65"/>
      <c r="E327" s="77"/>
      <c r="F327" s="33"/>
      <c r="G327" s="42"/>
      <c r="H327" s="43"/>
      <c r="I327" s="43"/>
      <c r="J327" s="36"/>
      <c r="K327" s="37">
        <f>+IF(F327="item",J327,IF(F327&lt;&gt;0,F327*J327,""))</f>
      </c>
      <c r="L327" s="31"/>
      <c r="M327" s="72"/>
      <c r="N327" s="73"/>
      <c r="O327" s="74"/>
      <c r="P327" s="75"/>
      <c r="Q327" s="76"/>
      <c r="S327" s="110"/>
      <c r="T327" s="12"/>
      <c r="U327" s="12"/>
      <c r="V327" s="12"/>
      <c r="W327" s="19"/>
      <c r="X327" s="111"/>
    </row>
    <row r="328" spans="1:24" ht="12.75" hidden="1" outlineLevel="1">
      <c r="A328" s="60"/>
      <c r="B328" s="61"/>
      <c r="C328" s="62"/>
      <c r="D328" s="65"/>
      <c r="E328" s="44" t="s">
        <v>151</v>
      </c>
      <c r="F328" s="33" t="s">
        <v>1</v>
      </c>
      <c r="G328" s="42"/>
      <c r="H328" s="43"/>
      <c r="I328" s="43"/>
      <c r="J328" s="36">
        <f>ihybridfit18C</f>
        <v>3000</v>
      </c>
      <c r="K328" s="37">
        <f>+IF(F328="item",J328,IF(F328&lt;&gt;0,F328*J328,""))</f>
        <v>3000</v>
      </c>
      <c r="L328" s="31"/>
      <c r="M328" s="72"/>
      <c r="N328" s="73"/>
      <c r="O328" s="74"/>
      <c r="P328" s="75"/>
      <c r="Q328" s="76"/>
      <c r="S328" s="110"/>
      <c r="T328" s="12"/>
      <c r="U328" s="12"/>
      <c r="V328" s="12"/>
      <c r="W328" s="19"/>
      <c r="X328" s="111"/>
    </row>
    <row r="329" spans="1:24" ht="12.75" hidden="1" outlineLevel="1">
      <c r="A329" s="60"/>
      <c r="B329" s="61"/>
      <c r="C329" s="62"/>
      <c r="D329" s="65"/>
      <c r="E329" s="77"/>
      <c r="F329" s="33"/>
      <c r="G329" s="42"/>
      <c r="H329" s="43"/>
      <c r="I329" s="43"/>
      <c r="J329" s="36"/>
      <c r="K329" s="37"/>
      <c r="L329" s="31"/>
      <c r="M329" s="72"/>
      <c r="N329" s="73"/>
      <c r="O329" s="74"/>
      <c r="P329" s="75"/>
      <c r="Q329" s="76"/>
      <c r="S329" s="110"/>
      <c r="T329" s="12"/>
      <c r="U329" s="12"/>
      <c r="V329" s="12"/>
      <c r="W329" s="19"/>
      <c r="X329" s="111"/>
    </row>
    <row r="330" spans="1:24" ht="12.75" hidden="1" outlineLevel="1">
      <c r="A330" s="60"/>
      <c r="B330" s="61"/>
      <c r="C330" s="62"/>
      <c r="D330" s="65"/>
      <c r="E330" s="77"/>
      <c r="F330" s="33"/>
      <c r="G330" s="42"/>
      <c r="H330" s="43"/>
      <c r="I330" s="43"/>
      <c r="J330" s="36"/>
      <c r="K330" s="37">
        <f aca="true" t="shared" si="28" ref="K330:K336">+IF(F330="item",J330,IF(F330&lt;&gt;0,F330*J330,""))</f>
      </c>
      <c r="L330" s="31"/>
      <c r="M330" s="72"/>
      <c r="N330" s="73"/>
      <c r="O330" s="74"/>
      <c r="P330" s="75"/>
      <c r="Q330" s="76"/>
      <c r="S330" s="110"/>
      <c r="T330" s="12"/>
      <c r="U330" s="12"/>
      <c r="V330" s="12"/>
      <c r="W330" s="19"/>
      <c r="X330" s="111"/>
    </row>
    <row r="331" spans="1:24" ht="12.75" collapsed="1">
      <c r="A331" s="60"/>
      <c r="B331" s="61"/>
      <c r="C331" s="62"/>
      <c r="D331" s="65"/>
      <c r="E331" s="77"/>
      <c r="F331" s="33"/>
      <c r="G331" s="42"/>
      <c r="H331" s="43"/>
      <c r="I331" s="43"/>
      <c r="J331" s="36"/>
      <c r="K331" s="37">
        <f t="shared" si="28"/>
      </c>
      <c r="L331" s="31"/>
      <c r="M331" s="72"/>
      <c r="N331" s="73"/>
      <c r="O331" s="74"/>
      <c r="P331" s="75"/>
      <c r="Q331" s="76"/>
      <c r="S331" s="110"/>
      <c r="T331" s="12"/>
      <c r="U331" s="12"/>
      <c r="V331" s="12"/>
      <c r="W331" s="19"/>
      <c r="X331" s="111"/>
    </row>
    <row r="332" spans="1:24" ht="38.25">
      <c r="A332" s="60"/>
      <c r="B332" s="61"/>
      <c r="C332" s="62"/>
      <c r="D332" s="65"/>
      <c r="E332" s="77" t="s">
        <v>146</v>
      </c>
      <c r="F332" s="33"/>
      <c r="G332" s="42"/>
      <c r="H332" s="43"/>
      <c r="I332" s="43"/>
      <c r="J332" s="36"/>
      <c r="K332" s="37">
        <f t="shared" si="28"/>
      </c>
      <c r="L332" s="31" t="s">
        <v>268</v>
      </c>
      <c r="M332" s="72"/>
      <c r="N332" s="73"/>
      <c r="O332" s="74"/>
      <c r="P332" s="75"/>
      <c r="Q332" s="76"/>
      <c r="S332" s="110"/>
      <c r="T332" s="12"/>
      <c r="U332" s="12"/>
      <c r="V332" s="12"/>
      <c r="W332" s="19"/>
      <c r="X332" s="111"/>
    </row>
    <row r="333" spans="1:24" ht="12.75" hidden="1" outlineLevel="1">
      <c r="A333" s="60"/>
      <c r="B333" s="61"/>
      <c r="C333" s="62"/>
      <c r="D333" s="65"/>
      <c r="E333" s="77"/>
      <c r="F333" s="33"/>
      <c r="G333" s="42"/>
      <c r="H333" s="43"/>
      <c r="I333" s="43"/>
      <c r="J333" s="36"/>
      <c r="K333" s="37">
        <f t="shared" si="28"/>
      </c>
      <c r="L333" s="31"/>
      <c r="M333" s="72"/>
      <c r="N333" s="73"/>
      <c r="O333" s="74"/>
      <c r="P333" s="75"/>
      <c r="Q333" s="76"/>
      <c r="S333" s="113" t="s">
        <v>257</v>
      </c>
      <c r="T333" s="12"/>
      <c r="U333" s="12"/>
      <c r="V333" s="12"/>
      <c r="W333" s="19"/>
      <c r="X333" s="111"/>
    </row>
    <row r="334" spans="1:24" ht="25.5" hidden="1" outlineLevel="1">
      <c r="A334" s="60"/>
      <c r="B334" s="61"/>
      <c r="C334" s="62"/>
      <c r="D334" s="65"/>
      <c r="E334" s="44" t="s">
        <v>158</v>
      </c>
      <c r="F334" s="33">
        <v>1</v>
      </c>
      <c r="G334" s="42" t="s">
        <v>8</v>
      </c>
      <c r="H334" s="43"/>
      <c r="I334" s="43"/>
      <c r="J334" s="36">
        <f>23000*1.2</f>
        <v>27600</v>
      </c>
      <c r="K334" s="37">
        <f t="shared" si="28"/>
        <v>27600</v>
      </c>
      <c r="L334" s="31" t="s">
        <v>424</v>
      </c>
      <c r="M334" s="72"/>
      <c r="N334" s="73"/>
      <c r="O334" s="74"/>
      <c r="P334" s="75"/>
      <c r="Q334" s="76"/>
      <c r="S334" s="110" t="str">
        <f>+E334</f>
        <v>Typical installation</v>
      </c>
      <c r="T334" s="114">
        <f>+K334</f>
        <v>27600</v>
      </c>
      <c r="U334" s="12"/>
      <c r="V334" s="12">
        <v>60</v>
      </c>
      <c r="W334" s="19">
        <f>ROUND(+IF(V334&gt;0,T334/V334,""),2)</f>
        <v>460</v>
      </c>
      <c r="X334" s="111"/>
    </row>
    <row r="335" spans="1:24" ht="12.75" hidden="1" outlineLevel="1">
      <c r="A335" s="60"/>
      <c r="B335" s="61"/>
      <c r="C335" s="62"/>
      <c r="D335" s="65"/>
      <c r="E335" s="77"/>
      <c r="F335" s="33"/>
      <c r="G335" s="42"/>
      <c r="H335" s="43"/>
      <c r="I335" s="43"/>
      <c r="J335" s="36"/>
      <c r="K335" s="37">
        <f t="shared" si="28"/>
      </c>
      <c r="L335" s="31"/>
      <c r="M335" s="72"/>
      <c r="N335" s="73"/>
      <c r="O335" s="74"/>
      <c r="P335" s="75"/>
      <c r="Q335" s="76"/>
      <c r="S335" s="110"/>
      <c r="T335" s="12"/>
      <c r="U335" s="12"/>
      <c r="V335" s="12"/>
      <c r="W335" s="19"/>
      <c r="X335" s="111"/>
    </row>
    <row r="336" spans="1:24" ht="12.75" hidden="1" outlineLevel="1">
      <c r="A336" s="60"/>
      <c r="B336" s="61"/>
      <c r="C336" s="62"/>
      <c r="D336" s="65"/>
      <c r="E336" s="77"/>
      <c r="F336" s="33"/>
      <c r="G336" s="42"/>
      <c r="H336" s="43"/>
      <c r="I336" s="43"/>
      <c r="J336" s="36"/>
      <c r="K336" s="37">
        <f t="shared" si="28"/>
      </c>
      <c r="L336" s="31"/>
      <c r="M336" s="72"/>
      <c r="N336" s="73"/>
      <c r="O336" s="74"/>
      <c r="P336" s="75"/>
      <c r="Q336" s="76"/>
      <c r="S336" s="113" t="s">
        <v>251</v>
      </c>
      <c r="T336" s="12"/>
      <c r="U336" s="12"/>
      <c r="V336" s="12"/>
      <c r="W336" s="19"/>
      <c r="X336" s="111"/>
    </row>
    <row r="337" spans="1:24" ht="12.75" hidden="1" outlineLevel="1">
      <c r="A337" s="60"/>
      <c r="B337" s="61"/>
      <c r="C337" s="62"/>
      <c r="D337" s="65"/>
      <c r="E337" s="77"/>
      <c r="F337" s="33"/>
      <c r="G337" s="42"/>
      <c r="H337" s="43"/>
      <c r="I337" s="43"/>
      <c r="J337" s="36"/>
      <c r="K337" s="37"/>
      <c r="L337" s="31"/>
      <c r="M337" s="72"/>
      <c r="N337" s="73"/>
      <c r="O337" s="74"/>
      <c r="P337" s="75"/>
      <c r="Q337" s="76"/>
      <c r="S337" s="110" t="s">
        <v>267</v>
      </c>
      <c r="T337" s="12"/>
      <c r="U337" s="12" t="s">
        <v>269</v>
      </c>
      <c r="V337" s="12">
        <v>1</v>
      </c>
      <c r="W337" s="19"/>
      <c r="X337" s="111"/>
    </row>
    <row r="338" spans="1:24" ht="12.75" hidden="1" outlineLevel="1">
      <c r="A338" s="60"/>
      <c r="B338" s="61"/>
      <c r="C338" s="62"/>
      <c r="D338" s="65"/>
      <c r="E338" s="77"/>
      <c r="F338" s="33"/>
      <c r="G338" s="42"/>
      <c r="H338" s="43"/>
      <c r="I338" s="43"/>
      <c r="J338" s="36"/>
      <c r="K338" s="37"/>
      <c r="L338" s="31"/>
      <c r="M338" s="72"/>
      <c r="N338" s="73"/>
      <c r="O338" s="74"/>
      <c r="P338" s="75"/>
      <c r="Q338" s="76"/>
      <c r="S338" s="110" t="s">
        <v>270</v>
      </c>
      <c r="T338" s="12"/>
      <c r="U338" s="12" t="s">
        <v>269</v>
      </c>
      <c r="V338" s="12" t="s">
        <v>269</v>
      </c>
      <c r="W338" s="19"/>
      <c r="X338" s="111"/>
    </row>
    <row r="339" spans="1:24" ht="12.75" hidden="1" outlineLevel="1">
      <c r="A339" s="60"/>
      <c r="B339" s="61"/>
      <c r="C339" s="62"/>
      <c r="D339" s="65"/>
      <c r="E339" s="77"/>
      <c r="F339" s="33"/>
      <c r="G339" s="42"/>
      <c r="H339" s="43"/>
      <c r="I339" s="43"/>
      <c r="J339" s="36"/>
      <c r="K339" s="37">
        <f>+IF(F339="item",J339,IF(F339&lt;&gt;0,F339*J339,""))</f>
      </c>
      <c r="L339" s="31"/>
      <c r="M339" s="72"/>
      <c r="N339" s="73"/>
      <c r="O339" s="74"/>
      <c r="P339" s="75"/>
      <c r="Q339" s="76"/>
      <c r="S339" s="110" t="s">
        <v>271</v>
      </c>
      <c r="T339" s="12"/>
      <c r="U339" s="12" t="s">
        <v>269</v>
      </c>
      <c r="V339" s="12" t="s">
        <v>269</v>
      </c>
      <c r="W339" s="19"/>
      <c r="X339" s="111"/>
    </row>
    <row r="340" spans="1:24" ht="12.75" collapsed="1">
      <c r="A340" s="60"/>
      <c r="B340" s="61"/>
      <c r="C340" s="62"/>
      <c r="D340" s="65"/>
      <c r="E340" s="77"/>
      <c r="F340" s="33"/>
      <c r="G340" s="42"/>
      <c r="H340" s="43"/>
      <c r="I340" s="43"/>
      <c r="J340" s="36"/>
      <c r="K340" s="37"/>
      <c r="L340" s="31"/>
      <c r="M340" s="72"/>
      <c r="N340" s="73"/>
      <c r="O340" s="74"/>
      <c r="P340" s="75"/>
      <c r="Q340" s="76"/>
      <c r="S340" s="110"/>
      <c r="T340" s="12"/>
      <c r="U340" s="12"/>
      <c r="V340" s="12"/>
      <c r="W340" s="19"/>
      <c r="X340" s="111"/>
    </row>
    <row r="341" spans="1:24" ht="12.75">
      <c r="A341" s="60"/>
      <c r="B341" s="61"/>
      <c r="C341" s="62"/>
      <c r="D341" s="65"/>
      <c r="E341" s="77"/>
      <c r="F341" s="33"/>
      <c r="G341" s="42"/>
      <c r="H341" s="43"/>
      <c r="I341" s="43"/>
      <c r="J341" s="36"/>
      <c r="K341" s="37"/>
      <c r="L341" s="31"/>
      <c r="M341" s="72"/>
      <c r="N341" s="73"/>
      <c r="O341" s="74"/>
      <c r="P341" s="75"/>
      <c r="Q341" s="76"/>
      <c r="S341" s="110"/>
      <c r="T341" s="12"/>
      <c r="U341" s="12"/>
      <c r="V341" s="12"/>
      <c r="W341" s="19"/>
      <c r="X341" s="111"/>
    </row>
    <row r="342" spans="1:24" ht="26.25" customHeight="1">
      <c r="A342" s="60"/>
      <c r="B342" s="61"/>
      <c r="C342" s="62"/>
      <c r="D342" s="65"/>
      <c r="E342" s="77" t="s">
        <v>147</v>
      </c>
      <c r="F342" s="33"/>
      <c r="G342" s="42"/>
      <c r="H342" s="43"/>
      <c r="I342" s="43"/>
      <c r="J342" s="36"/>
      <c r="K342" s="53">
        <f>SUM(K344:K357)</f>
        <v>4413.0944</v>
      </c>
      <c r="L342" s="31" t="s">
        <v>425</v>
      </c>
      <c r="M342" s="72"/>
      <c r="N342" s="73"/>
      <c r="O342" s="74"/>
      <c r="P342" s="75"/>
      <c r="Q342" s="76"/>
      <c r="S342" s="110"/>
      <c r="T342" s="12"/>
      <c r="U342" s="12"/>
      <c r="V342" s="12"/>
      <c r="W342" s="112">
        <f>SUM(W343:W358)</f>
        <v>228.60000000000002</v>
      </c>
      <c r="X342" s="122"/>
    </row>
    <row r="343" spans="1:24" ht="12.75" hidden="1" outlineLevel="1">
      <c r="A343" s="60"/>
      <c r="B343" s="61"/>
      <c r="C343" s="62"/>
      <c r="D343" s="65"/>
      <c r="E343" s="77"/>
      <c r="F343" s="33"/>
      <c r="G343" s="42"/>
      <c r="H343" s="43"/>
      <c r="I343" s="43"/>
      <c r="J343" s="36"/>
      <c r="K343" s="37">
        <f aca="true" t="shared" si="29" ref="K343:K354">+IF(F343="item",J343,IF(F343&lt;&gt;0,F343*J343,""))</f>
      </c>
      <c r="M343" s="72"/>
      <c r="N343" s="73"/>
      <c r="O343" s="74"/>
      <c r="P343" s="75"/>
      <c r="Q343" s="76"/>
      <c r="S343" s="113" t="s">
        <v>257</v>
      </c>
      <c r="T343" s="12"/>
      <c r="U343" s="12"/>
      <c r="V343" s="12"/>
      <c r="W343" s="19"/>
      <c r="X343" s="122"/>
    </row>
    <row r="344" spans="1:24" ht="12.75" hidden="1" outlineLevel="1">
      <c r="A344" s="60"/>
      <c r="B344" s="61"/>
      <c r="C344" s="62"/>
      <c r="D344" s="65"/>
      <c r="E344" s="44" t="s">
        <v>149</v>
      </c>
      <c r="F344" s="33">
        <v>2</v>
      </c>
      <c r="G344" s="42" t="s">
        <v>8</v>
      </c>
      <c r="H344" s="43"/>
      <c r="I344" s="43"/>
      <c r="J344" s="36">
        <f>595*1.2</f>
        <v>714</v>
      </c>
      <c r="K344" s="37">
        <f t="shared" si="29"/>
        <v>1428</v>
      </c>
      <c r="L344" s="31"/>
      <c r="M344" s="72"/>
      <c r="N344" s="73"/>
      <c r="O344" s="74"/>
      <c r="P344" s="75"/>
      <c r="Q344" s="76"/>
      <c r="S344" s="110" t="str">
        <f>+E344</f>
        <v>Purchase stove - Stockton 5</v>
      </c>
      <c r="T344" s="114">
        <f>+K344</f>
        <v>1428</v>
      </c>
      <c r="U344" s="12"/>
      <c r="V344" s="12">
        <v>20</v>
      </c>
      <c r="W344" s="19">
        <f>ROUND(+IF(V344&gt;0,T344/V344,""),2)</f>
        <v>71.4</v>
      </c>
      <c r="X344" s="122"/>
    </row>
    <row r="345" spans="1:24" ht="12.75" hidden="1" outlineLevel="1">
      <c r="A345" s="60"/>
      <c r="B345" s="61"/>
      <c r="C345" s="62"/>
      <c r="D345" s="65"/>
      <c r="E345" s="44"/>
      <c r="F345" s="33"/>
      <c r="G345" s="42"/>
      <c r="H345" s="43"/>
      <c r="I345" s="43"/>
      <c r="J345" s="36"/>
      <c r="K345" s="37">
        <f t="shared" si="29"/>
      </c>
      <c r="L345" s="31"/>
      <c r="M345" s="72"/>
      <c r="N345" s="73"/>
      <c r="O345" s="74"/>
      <c r="P345" s="75"/>
      <c r="Q345" s="76"/>
      <c r="S345" s="110"/>
      <c r="T345" s="12"/>
      <c r="U345" s="12"/>
      <c r="V345" s="12"/>
      <c r="W345" s="19"/>
      <c r="X345" s="111"/>
    </row>
    <row r="346" spans="1:24" ht="12.75" hidden="1" outlineLevel="1">
      <c r="A346" s="60"/>
      <c r="B346" s="61"/>
      <c r="C346" s="62"/>
      <c r="D346" s="65"/>
      <c r="E346" s="44" t="s">
        <v>150</v>
      </c>
      <c r="F346" s="33">
        <v>2</v>
      </c>
      <c r="G346" s="42" t="s">
        <v>8</v>
      </c>
      <c r="H346" s="43"/>
      <c r="I346" s="43"/>
      <c r="J346" s="36">
        <f>24.96*1.2</f>
        <v>29.951999999999998</v>
      </c>
      <c r="K346" s="37">
        <f t="shared" si="29"/>
        <v>59.903999999999996</v>
      </c>
      <c r="L346" s="31"/>
      <c r="M346" s="72"/>
      <c r="N346" s="73"/>
      <c r="O346" s="74"/>
      <c r="P346" s="75"/>
      <c r="Q346" s="76"/>
      <c r="S346" s="110" t="str">
        <f>+E346</f>
        <v>Smoke control kit</v>
      </c>
      <c r="T346" s="114">
        <f>+K346</f>
        <v>59.903999999999996</v>
      </c>
      <c r="U346" s="12"/>
      <c r="V346" s="12">
        <v>20</v>
      </c>
      <c r="W346" s="19">
        <f>ROUND(+IF(V346&gt;0,T346/V346,""),2)</f>
        <v>3</v>
      </c>
      <c r="X346" s="111"/>
    </row>
    <row r="347" spans="1:24" ht="12.75" hidden="1" outlineLevel="1">
      <c r="A347" s="60"/>
      <c r="B347" s="61"/>
      <c r="C347" s="62"/>
      <c r="D347" s="65"/>
      <c r="E347" s="44"/>
      <c r="F347" s="33"/>
      <c r="G347" s="42"/>
      <c r="H347" s="43"/>
      <c r="I347" s="43"/>
      <c r="J347" s="36"/>
      <c r="K347" s="37">
        <f t="shared" si="29"/>
      </c>
      <c r="L347" s="31"/>
      <c r="M347" s="72"/>
      <c r="N347" s="73"/>
      <c r="O347" s="74"/>
      <c r="P347" s="75"/>
      <c r="Q347" s="76"/>
      <c r="S347" s="110"/>
      <c r="T347" s="12"/>
      <c r="U347" s="12"/>
      <c r="V347" s="12"/>
      <c r="W347" s="19"/>
      <c r="X347" s="111"/>
    </row>
    <row r="348" spans="1:24" ht="12.75" hidden="1" outlineLevel="1">
      <c r="A348" s="60"/>
      <c r="B348" s="61"/>
      <c r="C348" s="62"/>
      <c r="D348" s="65"/>
      <c r="E348" s="44" t="s">
        <v>151</v>
      </c>
      <c r="F348" s="33">
        <v>2</v>
      </c>
      <c r="G348" s="42" t="s">
        <v>8</v>
      </c>
      <c r="H348" s="43"/>
      <c r="I348" s="43"/>
      <c r="J348" s="36">
        <f>300*1.2</f>
        <v>360</v>
      </c>
      <c r="K348" s="37">
        <f t="shared" si="29"/>
        <v>720</v>
      </c>
      <c r="L348" s="31"/>
      <c r="M348" s="72"/>
      <c r="N348" s="73"/>
      <c r="O348" s="74"/>
      <c r="P348" s="75"/>
      <c r="Q348" s="76"/>
      <c r="S348" s="110"/>
      <c r="T348" s="12"/>
      <c r="U348" s="12"/>
      <c r="V348" s="12"/>
      <c r="W348" s="19"/>
      <c r="X348" s="111"/>
    </row>
    <row r="349" spans="1:24" ht="12.75" hidden="1" outlineLevel="1">
      <c r="A349" s="60"/>
      <c r="B349" s="61"/>
      <c r="C349" s="62"/>
      <c r="D349" s="65"/>
      <c r="E349" s="44"/>
      <c r="F349" s="33"/>
      <c r="G349" s="42"/>
      <c r="H349" s="43"/>
      <c r="I349" s="43"/>
      <c r="J349" s="36"/>
      <c r="K349" s="37">
        <f t="shared" si="29"/>
      </c>
      <c r="L349" s="31"/>
      <c r="M349" s="72"/>
      <c r="N349" s="73"/>
      <c r="O349" s="74"/>
      <c r="P349" s="75"/>
      <c r="Q349" s="76"/>
      <c r="S349" s="110"/>
      <c r="T349" s="12"/>
      <c r="U349" s="12"/>
      <c r="V349" s="12"/>
      <c r="W349" s="19"/>
      <c r="X349" s="111"/>
    </row>
    <row r="350" spans="1:24" ht="25.5" hidden="1" outlineLevel="1">
      <c r="A350" s="60"/>
      <c r="B350" s="61"/>
      <c r="C350" s="62"/>
      <c r="D350" s="65"/>
      <c r="E350" s="44" t="s">
        <v>152</v>
      </c>
      <c r="F350" s="33">
        <v>2</v>
      </c>
      <c r="G350" s="42" t="s">
        <v>8</v>
      </c>
      <c r="H350" s="43"/>
      <c r="I350" s="43"/>
      <c r="J350" s="36">
        <f>535*1.2</f>
        <v>642</v>
      </c>
      <c r="K350" s="37">
        <f t="shared" si="29"/>
        <v>1284</v>
      </c>
      <c r="L350" s="44" t="s">
        <v>155</v>
      </c>
      <c r="M350" s="72"/>
      <c r="N350" s="73"/>
      <c r="O350" s="74"/>
      <c r="P350" s="75"/>
      <c r="Q350" s="76"/>
      <c r="S350" s="110" t="str">
        <f>+E350</f>
        <v>Liner and vermiculite</v>
      </c>
      <c r="T350" s="114">
        <f>+K350</f>
        <v>1284</v>
      </c>
      <c r="U350" s="12"/>
      <c r="V350" s="12">
        <v>20</v>
      </c>
      <c r="W350" s="19">
        <f>ROUND(+IF(V350&gt;0,T350/V350,""),2)</f>
        <v>64.2</v>
      </c>
      <c r="X350" s="111"/>
    </row>
    <row r="351" spans="1:24" ht="12.75" hidden="1" outlineLevel="1">
      <c r="A351" s="60"/>
      <c r="B351" s="61"/>
      <c r="C351" s="62"/>
      <c r="D351" s="65"/>
      <c r="E351" s="44"/>
      <c r="F351" s="33"/>
      <c r="G351" s="42"/>
      <c r="H351" s="43"/>
      <c r="I351" s="43"/>
      <c r="J351" s="36"/>
      <c r="K351" s="37">
        <f t="shared" si="29"/>
      </c>
      <c r="L351" s="31"/>
      <c r="M351" s="72"/>
      <c r="N351" s="73"/>
      <c r="O351" s="74"/>
      <c r="P351" s="75"/>
      <c r="Q351" s="76"/>
      <c r="S351" s="110"/>
      <c r="T351" s="12"/>
      <c r="U351" s="12"/>
      <c r="V351" s="12"/>
      <c r="W351" s="19"/>
      <c r="X351" s="111"/>
    </row>
    <row r="352" spans="1:24" ht="25.5" hidden="1" outlineLevel="1">
      <c r="A352" s="60"/>
      <c r="B352" s="61"/>
      <c r="C352" s="62"/>
      <c r="D352" s="65"/>
      <c r="E352" s="44" t="s">
        <v>153</v>
      </c>
      <c r="F352" s="33">
        <v>2</v>
      </c>
      <c r="G352" s="42" t="s">
        <v>8</v>
      </c>
      <c r="H352" s="43">
        <v>2</v>
      </c>
      <c r="I352" s="43">
        <v>50</v>
      </c>
      <c r="J352" s="36">
        <f>IF(+I352+H352&gt;0,I352+(H352*labour),"")</f>
        <v>110</v>
      </c>
      <c r="K352" s="37">
        <f t="shared" si="29"/>
        <v>220</v>
      </c>
      <c r="L352" s="31"/>
      <c r="M352" s="72"/>
      <c r="N352" s="73"/>
      <c r="O352" s="74"/>
      <c r="P352" s="75"/>
      <c r="Q352" s="76"/>
      <c r="S352" s="113" t="s">
        <v>251</v>
      </c>
      <c r="T352" s="12"/>
      <c r="U352" s="12"/>
      <c r="V352" s="12"/>
      <c r="W352" s="19"/>
      <c r="X352" s="111" t="s">
        <v>272</v>
      </c>
    </row>
    <row r="353" spans="1:24" ht="12.75" hidden="1" outlineLevel="1">
      <c r="A353" s="60"/>
      <c r="B353" s="61"/>
      <c r="C353" s="62"/>
      <c r="D353" s="65"/>
      <c r="E353" s="44"/>
      <c r="F353" s="33"/>
      <c r="G353" s="42"/>
      <c r="H353" s="43"/>
      <c r="I353" s="43"/>
      <c r="J353" s="36">
        <f>IF(+I353+H353&gt;0,I353+(H353*labour),"")</f>
      </c>
      <c r="K353" s="37">
        <f t="shared" si="29"/>
      </c>
      <c r="L353" s="31"/>
      <c r="M353" s="72"/>
      <c r="N353" s="73"/>
      <c r="O353" s="74"/>
      <c r="P353" s="75"/>
      <c r="Q353" s="76"/>
      <c r="S353" s="110" t="s">
        <v>273</v>
      </c>
      <c r="T353" s="12"/>
      <c r="U353" s="12">
        <v>70</v>
      </c>
      <c r="V353" s="12">
        <v>1</v>
      </c>
      <c r="W353" s="19">
        <f>+U353/V353</f>
        <v>70</v>
      </c>
      <c r="X353" s="111"/>
    </row>
    <row r="354" spans="1:24" ht="12.75" hidden="1" outlineLevel="1">
      <c r="A354" s="60"/>
      <c r="B354" s="61"/>
      <c r="C354" s="62"/>
      <c r="D354" s="65"/>
      <c r="E354" s="44" t="s">
        <v>154</v>
      </c>
      <c r="F354" s="33">
        <v>1</v>
      </c>
      <c r="G354" s="42" t="s">
        <v>8</v>
      </c>
      <c r="H354" s="43"/>
      <c r="I354" s="43"/>
      <c r="J354" s="36">
        <v>300</v>
      </c>
      <c r="K354" s="37">
        <f t="shared" si="29"/>
        <v>300</v>
      </c>
      <c r="L354" s="31"/>
      <c r="M354" s="72"/>
      <c r="N354" s="73"/>
      <c r="O354" s="74"/>
      <c r="P354" s="75"/>
      <c r="Q354" s="76"/>
      <c r="S354" s="110" t="s">
        <v>274</v>
      </c>
      <c r="T354" s="12"/>
      <c r="U354" s="12">
        <v>40</v>
      </c>
      <c r="V354" s="12">
        <v>5</v>
      </c>
      <c r="W354" s="19">
        <f>+U354/V354</f>
        <v>8</v>
      </c>
      <c r="X354" s="111" t="s">
        <v>272</v>
      </c>
    </row>
    <row r="355" spans="1:24" ht="12.75" hidden="1" outlineLevel="1">
      <c r="A355" s="60"/>
      <c r="B355" s="61"/>
      <c r="C355" s="62"/>
      <c r="D355" s="65"/>
      <c r="E355" s="44"/>
      <c r="F355" s="33"/>
      <c r="G355" s="42"/>
      <c r="H355" s="43"/>
      <c r="I355" s="43"/>
      <c r="J355" s="36"/>
      <c r="K355" s="37"/>
      <c r="L355" s="31"/>
      <c r="M355" s="72"/>
      <c r="N355" s="73"/>
      <c r="O355" s="74"/>
      <c r="P355" s="75"/>
      <c r="Q355" s="76"/>
      <c r="S355" s="110"/>
      <c r="T355" s="12"/>
      <c r="U355" s="12"/>
      <c r="V355" s="12"/>
      <c r="W355" s="19"/>
      <c r="X355" s="111"/>
    </row>
    <row r="356" spans="1:24" ht="12.75" hidden="1" outlineLevel="1">
      <c r="A356" s="60"/>
      <c r="B356" s="61"/>
      <c r="C356" s="62"/>
      <c r="D356" s="65"/>
      <c r="E356" s="38" t="s">
        <v>362</v>
      </c>
      <c r="F356" s="33">
        <v>10</v>
      </c>
      <c r="G356" s="34" t="s">
        <v>363</v>
      </c>
      <c r="H356" s="39"/>
      <c r="I356" s="39"/>
      <c r="J356" s="36">
        <f>SUM(K343:K355)</f>
        <v>4011.904</v>
      </c>
      <c r="K356" s="37">
        <f>+J356*F356%</f>
        <v>401.1904</v>
      </c>
      <c r="L356" s="31"/>
      <c r="M356" s="72"/>
      <c r="N356" s="73"/>
      <c r="O356" s="74"/>
      <c r="P356" s="75"/>
      <c r="Q356" s="76"/>
      <c r="S356" s="110"/>
      <c r="T356" s="12"/>
      <c r="U356" s="12"/>
      <c r="V356" s="12"/>
      <c r="W356" s="19"/>
      <c r="X356" s="111"/>
    </row>
    <row r="357" spans="1:24" ht="12.75" hidden="1" outlineLevel="1">
      <c r="A357" s="60"/>
      <c r="B357" s="61"/>
      <c r="C357" s="62"/>
      <c r="D357" s="65"/>
      <c r="E357" s="44"/>
      <c r="F357" s="33"/>
      <c r="G357" s="42"/>
      <c r="H357" s="43"/>
      <c r="I357" s="43"/>
      <c r="J357" s="36"/>
      <c r="K357" s="37">
        <f>+IF(F357="item",J357,IF(F357&lt;&gt;0,F357*J357,""))</f>
      </c>
      <c r="L357" s="31"/>
      <c r="M357" s="72"/>
      <c r="N357" s="73"/>
      <c r="O357" s="74"/>
      <c r="P357" s="75"/>
      <c r="Q357" s="76"/>
      <c r="S357" s="110" t="s">
        <v>275</v>
      </c>
      <c r="T357" s="12"/>
      <c r="U357" s="12">
        <v>60</v>
      </c>
      <c r="V357" s="12">
        <v>5</v>
      </c>
      <c r="W357" s="19">
        <f>+U357/V357</f>
        <v>12</v>
      </c>
      <c r="X357" s="111"/>
    </row>
    <row r="358" spans="1:24" ht="12.75" collapsed="1">
      <c r="A358" s="60"/>
      <c r="B358" s="61"/>
      <c r="C358" s="62"/>
      <c r="D358" s="65"/>
      <c r="E358" s="44"/>
      <c r="F358" s="33"/>
      <c r="G358" s="42"/>
      <c r="H358" s="43"/>
      <c r="I358" s="43"/>
      <c r="J358" s="36">
        <f>IF(+I358+H358&gt;0,I358+(H358*labour),"")</f>
      </c>
      <c r="K358" s="37">
        <f>+IF(F358="item",J358,IF(F358&lt;&gt;0,F358*J358,""))</f>
      </c>
      <c r="L358" s="31"/>
      <c r="M358" s="72"/>
      <c r="N358" s="73"/>
      <c r="O358" s="74"/>
      <c r="P358" s="75"/>
      <c r="Q358" s="76"/>
      <c r="S358" s="110"/>
      <c r="T358" s="12"/>
      <c r="U358" s="12"/>
      <c r="V358" s="12"/>
      <c r="W358" s="19"/>
      <c r="X358" s="111"/>
    </row>
    <row r="359" spans="1:24" ht="12.75">
      <c r="A359" s="60"/>
      <c r="B359" s="61"/>
      <c r="C359" s="62"/>
      <c r="D359" s="65"/>
      <c r="E359" s="44"/>
      <c r="F359" s="33"/>
      <c r="G359" s="42"/>
      <c r="H359" s="43"/>
      <c r="I359" s="43"/>
      <c r="J359" s="36">
        <f>IF(+I359+H359&gt;0,I359+(H359*labour),"")</f>
      </c>
      <c r="K359" s="37">
        <f>+IF(F359="item",J359,IF(F359&lt;&gt;0,F359*J359,""))</f>
      </c>
      <c r="L359" s="31"/>
      <c r="M359" s="72"/>
      <c r="N359" s="73"/>
      <c r="O359" s="74"/>
      <c r="P359" s="75"/>
      <c r="Q359" s="76"/>
      <c r="S359" s="110"/>
      <c r="T359" s="12"/>
      <c r="U359" s="12"/>
      <c r="V359" s="12"/>
      <c r="W359" s="19"/>
      <c r="X359" s="111"/>
    </row>
    <row r="360" spans="1:24" ht="12.75">
      <c r="A360" s="60"/>
      <c r="B360" s="61"/>
      <c r="C360" s="62"/>
      <c r="D360" s="65"/>
      <c r="E360" s="77" t="s">
        <v>156</v>
      </c>
      <c r="F360" s="33"/>
      <c r="G360" s="42"/>
      <c r="H360" s="43"/>
      <c r="I360" s="43"/>
      <c r="J360" s="36">
        <f>IF(+I360+H360&gt;0,I360+(H360*labour),"")</f>
      </c>
      <c r="K360" s="53">
        <v>4800</v>
      </c>
      <c r="L360" s="31"/>
      <c r="M360" s="72"/>
      <c r="N360" s="73"/>
      <c r="O360" s="74"/>
      <c r="P360" s="75"/>
      <c r="Q360" s="76"/>
      <c r="S360" s="110"/>
      <c r="T360" s="12"/>
      <c r="U360" s="12"/>
      <c r="V360" s="12"/>
      <c r="W360" s="112">
        <f>SUM(W361:W363)</f>
        <v>310</v>
      </c>
      <c r="X360" s="111"/>
    </row>
    <row r="361" spans="1:24" ht="12.75" hidden="1" outlineLevel="1">
      <c r="A361" s="60"/>
      <c r="B361" s="61"/>
      <c r="C361" s="62"/>
      <c r="D361" s="65"/>
      <c r="E361" s="77"/>
      <c r="F361" s="33"/>
      <c r="G361" s="42"/>
      <c r="H361" s="43"/>
      <c r="I361" s="43"/>
      <c r="J361" s="36"/>
      <c r="K361" s="37"/>
      <c r="L361" s="31"/>
      <c r="M361" s="72"/>
      <c r="N361" s="73"/>
      <c r="O361" s="74"/>
      <c r="P361" s="75"/>
      <c r="Q361" s="76"/>
      <c r="S361" s="113" t="s">
        <v>257</v>
      </c>
      <c r="T361" s="114">
        <f>+K360</f>
        <v>4800</v>
      </c>
      <c r="U361" s="12"/>
      <c r="V361" s="12">
        <v>20</v>
      </c>
      <c r="W361" s="19">
        <f>+T361/V361</f>
        <v>240</v>
      </c>
      <c r="X361" s="111"/>
    </row>
    <row r="362" spans="1:24" ht="12.75" hidden="1" outlineLevel="1">
      <c r="A362" s="60"/>
      <c r="B362" s="61"/>
      <c r="C362" s="62"/>
      <c r="D362" s="65"/>
      <c r="E362" s="44" t="s">
        <v>158</v>
      </c>
      <c r="F362" s="33"/>
      <c r="G362" s="42"/>
      <c r="H362" s="43"/>
      <c r="I362" s="43"/>
      <c r="J362" s="36"/>
      <c r="K362" s="37"/>
      <c r="L362" s="31"/>
      <c r="M362" s="72"/>
      <c r="N362" s="73"/>
      <c r="O362" s="74"/>
      <c r="P362" s="75"/>
      <c r="Q362" s="76"/>
      <c r="S362" s="113" t="s">
        <v>251</v>
      </c>
      <c r="T362" s="12"/>
      <c r="U362" s="12"/>
      <c r="V362" s="12"/>
      <c r="W362" s="19"/>
      <c r="X362" s="111"/>
    </row>
    <row r="363" spans="1:24" ht="38.25" hidden="1" outlineLevel="1">
      <c r="A363" s="60"/>
      <c r="B363" s="61"/>
      <c r="C363" s="62"/>
      <c r="D363" s="65"/>
      <c r="E363" s="44"/>
      <c r="F363" s="33"/>
      <c r="G363" s="42"/>
      <c r="H363" s="43"/>
      <c r="I363" s="43"/>
      <c r="J363" s="36">
        <f>IF(+I363+H363&gt;0,I363+(H363*labour),"")</f>
      </c>
      <c r="K363" s="37">
        <f>+IF(F363="item",J363,IF(F363&lt;&gt;0,F363*J363,""))</f>
      </c>
      <c r="L363" s="69" t="s">
        <v>162</v>
      </c>
      <c r="M363" s="72"/>
      <c r="N363" s="73"/>
      <c r="O363" s="74"/>
      <c r="P363" s="75"/>
      <c r="Q363" s="76"/>
      <c r="S363" s="110" t="s">
        <v>276</v>
      </c>
      <c r="T363" s="12"/>
      <c r="U363" s="12">
        <v>70</v>
      </c>
      <c r="V363" s="12">
        <v>1</v>
      </c>
      <c r="W363" s="19">
        <f>+U363/V363</f>
        <v>70</v>
      </c>
      <c r="X363" s="111"/>
    </row>
    <row r="364" spans="1:24" ht="12.75" collapsed="1">
      <c r="A364" s="60"/>
      <c r="B364" s="61"/>
      <c r="C364" s="62"/>
      <c r="D364" s="65"/>
      <c r="E364" s="44"/>
      <c r="F364" s="33"/>
      <c r="G364" s="42"/>
      <c r="H364" s="43"/>
      <c r="I364" s="43"/>
      <c r="J364" s="36">
        <f>IF(+I364+H364&gt;0,I364+(H364*labour),"")</f>
      </c>
      <c r="K364" s="37">
        <f>+IF(F364="item",J364,IF(F364&lt;&gt;0,F364*J364,""))</f>
      </c>
      <c r="L364" s="31"/>
      <c r="M364" s="72"/>
      <c r="N364" s="73"/>
      <c r="O364" s="74"/>
      <c r="P364" s="75"/>
      <c r="Q364" s="76"/>
      <c r="S364" s="110"/>
      <c r="T364" s="12"/>
      <c r="U364" s="12"/>
      <c r="V364" s="12"/>
      <c r="W364" s="19"/>
      <c r="X364" s="111"/>
    </row>
    <row r="365" spans="1:24" ht="12.75">
      <c r="A365" s="60"/>
      <c r="B365" s="61"/>
      <c r="C365" s="62"/>
      <c r="D365" s="65"/>
      <c r="E365" s="44"/>
      <c r="F365" s="33"/>
      <c r="G365" s="42"/>
      <c r="H365" s="43"/>
      <c r="I365" s="43"/>
      <c r="J365" s="36"/>
      <c r="K365" s="37"/>
      <c r="L365" s="31"/>
      <c r="M365" s="72"/>
      <c r="N365" s="73"/>
      <c r="O365" s="74"/>
      <c r="P365" s="75"/>
      <c r="Q365" s="76"/>
      <c r="S365" s="110"/>
      <c r="T365" s="12"/>
      <c r="U365" s="12"/>
      <c r="V365" s="12"/>
      <c r="W365" s="19"/>
      <c r="X365" s="111"/>
    </row>
    <row r="366" spans="1:24" ht="12.75">
      <c r="A366" s="60"/>
      <c r="B366" s="61"/>
      <c r="C366" s="62"/>
      <c r="D366" s="65"/>
      <c r="E366" s="77" t="s">
        <v>161</v>
      </c>
      <c r="F366" s="33"/>
      <c r="G366" s="42"/>
      <c r="H366" s="43"/>
      <c r="I366" s="43"/>
      <c r="J366" s="36">
        <f aca="true" t="shared" si="30" ref="J366:J373">IF(+I366+H366&gt;0,I366+(H366*labour),"")</f>
      </c>
      <c r="K366" s="53">
        <v>18000</v>
      </c>
      <c r="L366" s="31" t="s">
        <v>159</v>
      </c>
      <c r="M366" s="72"/>
      <c r="N366" s="73"/>
      <c r="O366" s="74"/>
      <c r="P366" s="75"/>
      <c r="Q366" s="76"/>
      <c r="S366" s="110"/>
      <c r="T366" s="12"/>
      <c r="U366" s="12"/>
      <c r="V366" s="12"/>
      <c r="W366" s="112">
        <f>SUM(W367:W369)</f>
        <v>970</v>
      </c>
      <c r="X366" s="111"/>
    </row>
    <row r="367" spans="1:24" ht="12.75">
      <c r="A367" s="60"/>
      <c r="B367" s="61"/>
      <c r="C367" s="62"/>
      <c r="D367" s="65"/>
      <c r="E367" s="44"/>
      <c r="F367" s="33"/>
      <c r="G367" s="42"/>
      <c r="H367" s="43"/>
      <c r="I367" s="43"/>
      <c r="J367" s="36">
        <f t="shared" si="30"/>
      </c>
      <c r="K367" s="37">
        <f aca="true" t="shared" si="31" ref="K367:K372">+IF(F367="item",J367,IF(F367&lt;&gt;0,F367*J367,""))</f>
      </c>
      <c r="L367" s="31"/>
      <c r="M367" s="72"/>
      <c r="N367" s="73"/>
      <c r="O367" s="74"/>
      <c r="P367" s="75"/>
      <c r="Q367" s="76"/>
      <c r="S367" s="113" t="s">
        <v>257</v>
      </c>
      <c r="T367" s="114">
        <f>+K366</f>
        <v>18000</v>
      </c>
      <c r="U367" s="12"/>
      <c r="V367" s="12">
        <v>20</v>
      </c>
      <c r="W367" s="19">
        <f>+T367/V367</f>
        <v>900</v>
      </c>
      <c r="X367" s="111"/>
    </row>
    <row r="368" spans="1:24" ht="12.75" hidden="1" outlineLevel="1">
      <c r="A368" s="60"/>
      <c r="B368" s="61"/>
      <c r="C368" s="62"/>
      <c r="D368" s="65"/>
      <c r="E368" s="44" t="s">
        <v>158</v>
      </c>
      <c r="F368" s="33"/>
      <c r="G368" s="42"/>
      <c r="H368" s="43"/>
      <c r="I368" s="43"/>
      <c r="J368" s="36">
        <f t="shared" si="30"/>
      </c>
      <c r="K368" s="37">
        <f t="shared" si="31"/>
      </c>
      <c r="L368" s="31" t="s">
        <v>160</v>
      </c>
      <c r="M368" s="72"/>
      <c r="N368" s="73"/>
      <c r="O368" s="74"/>
      <c r="P368" s="75"/>
      <c r="Q368" s="76"/>
      <c r="S368" s="113" t="s">
        <v>251</v>
      </c>
      <c r="T368" s="12"/>
      <c r="U368" s="12"/>
      <c r="V368" s="12"/>
      <c r="W368" s="19"/>
      <c r="X368" s="111"/>
    </row>
    <row r="369" spans="1:24" ht="12.75" hidden="1" outlineLevel="1">
      <c r="A369" s="60"/>
      <c r="B369" s="61"/>
      <c r="C369" s="62"/>
      <c r="D369" s="65"/>
      <c r="E369" s="44"/>
      <c r="F369" s="33"/>
      <c r="G369" s="42"/>
      <c r="H369" s="43"/>
      <c r="I369" s="43"/>
      <c r="J369" s="36">
        <f t="shared" si="30"/>
      </c>
      <c r="K369" s="37">
        <f t="shared" si="31"/>
      </c>
      <c r="L369" s="31"/>
      <c r="M369" s="72"/>
      <c r="N369" s="73"/>
      <c r="O369" s="74"/>
      <c r="P369" s="75"/>
      <c r="Q369" s="76"/>
      <c r="S369" s="110" t="s">
        <v>276</v>
      </c>
      <c r="T369" s="12"/>
      <c r="U369" s="12">
        <v>70</v>
      </c>
      <c r="V369" s="12">
        <v>1</v>
      </c>
      <c r="W369" s="19">
        <f>+U369/V369</f>
        <v>70</v>
      </c>
      <c r="X369" s="111"/>
    </row>
    <row r="370" spans="1:24" ht="38.25" hidden="1" outlineLevel="1">
      <c r="A370" s="60"/>
      <c r="B370" s="61"/>
      <c r="C370" s="62"/>
      <c r="D370" s="65"/>
      <c r="E370" s="44"/>
      <c r="F370" s="33"/>
      <c r="G370" s="42"/>
      <c r="H370" s="43"/>
      <c r="I370" s="43"/>
      <c r="J370" s="36">
        <f t="shared" si="30"/>
      </c>
      <c r="K370" s="37">
        <f t="shared" si="31"/>
      </c>
      <c r="L370" s="69" t="s">
        <v>157</v>
      </c>
      <c r="M370" s="72"/>
      <c r="N370" s="73"/>
      <c r="O370" s="74"/>
      <c r="P370" s="75"/>
      <c r="Q370" s="76"/>
      <c r="S370" s="110"/>
      <c r="T370" s="12"/>
      <c r="U370" s="12"/>
      <c r="V370" s="12"/>
      <c r="W370" s="19"/>
      <c r="X370" s="111"/>
    </row>
    <row r="371" spans="1:24" ht="12.75" collapsed="1">
      <c r="A371" s="60"/>
      <c r="B371" s="61"/>
      <c r="C371" s="62"/>
      <c r="D371" s="65"/>
      <c r="E371" s="44"/>
      <c r="F371" s="33"/>
      <c r="G371" s="42"/>
      <c r="H371" s="43"/>
      <c r="I371" s="43"/>
      <c r="J371" s="36">
        <f t="shared" si="30"/>
      </c>
      <c r="K371" s="37">
        <f t="shared" si="31"/>
      </c>
      <c r="L371" s="31"/>
      <c r="M371" s="72"/>
      <c r="N371" s="73"/>
      <c r="O371" s="74"/>
      <c r="P371" s="75"/>
      <c r="Q371" s="76"/>
      <c r="S371" s="110"/>
      <c r="T371" s="12"/>
      <c r="U371" s="12"/>
      <c r="V371" s="12"/>
      <c r="W371" s="19"/>
      <c r="X371" s="111"/>
    </row>
    <row r="372" spans="1:24" ht="12.75">
      <c r="A372" s="60"/>
      <c r="B372" s="61"/>
      <c r="C372" s="62"/>
      <c r="D372" s="65"/>
      <c r="E372" s="44"/>
      <c r="F372" s="33"/>
      <c r="G372" s="42"/>
      <c r="H372" s="43"/>
      <c r="I372" s="43"/>
      <c r="J372" s="36">
        <f t="shared" si="30"/>
      </c>
      <c r="K372" s="37">
        <f t="shared" si="31"/>
      </c>
      <c r="L372" s="31"/>
      <c r="M372" s="72"/>
      <c r="N372" s="73"/>
      <c r="O372" s="74"/>
      <c r="P372" s="75"/>
      <c r="Q372" s="76"/>
      <c r="S372" s="110"/>
      <c r="T372" s="12"/>
      <c r="U372" s="12"/>
      <c r="V372" s="12"/>
      <c r="W372" s="19"/>
      <c r="X372" s="111"/>
    </row>
    <row r="373" spans="1:24" ht="38.25">
      <c r="A373" s="60"/>
      <c r="B373" s="61"/>
      <c r="C373" s="62"/>
      <c r="D373" s="65"/>
      <c r="E373" s="77" t="s">
        <v>163</v>
      </c>
      <c r="F373" s="33"/>
      <c r="G373" s="42"/>
      <c r="H373" s="43"/>
      <c r="I373" s="43"/>
      <c r="J373" s="36">
        <f t="shared" si="30"/>
      </c>
      <c r="K373" s="53">
        <f>SUM(K374:K381)</f>
        <v>11424.094000000001</v>
      </c>
      <c r="L373" s="31"/>
      <c r="M373" s="72"/>
      <c r="N373" s="73"/>
      <c r="O373" s="74"/>
      <c r="P373" s="75"/>
      <c r="Q373" s="76"/>
      <c r="S373" s="110"/>
      <c r="T373" s="12"/>
      <c r="U373" s="12"/>
      <c r="V373" s="12"/>
      <c r="W373" s="19"/>
      <c r="X373" s="116" t="s">
        <v>264</v>
      </c>
    </row>
    <row r="374" spans="1:24" ht="12.75" hidden="1" outlineLevel="1">
      <c r="A374" s="60"/>
      <c r="B374" s="61"/>
      <c r="C374" s="62"/>
      <c r="D374" s="65"/>
      <c r="E374" s="44" t="s">
        <v>165</v>
      </c>
      <c r="F374" s="33">
        <v>1</v>
      </c>
      <c r="G374" s="42" t="s">
        <v>8</v>
      </c>
      <c r="H374" s="43"/>
      <c r="I374" s="43"/>
      <c r="J374" s="36">
        <f>6565.54+3000</f>
        <v>9565.54</v>
      </c>
      <c r="K374" s="37">
        <f>+IF(F374="item",J374,IF(F374&lt;&gt;0,F374*J374,""))</f>
        <v>9565.54</v>
      </c>
      <c r="L374" s="31" t="s">
        <v>427</v>
      </c>
      <c r="M374" s="72"/>
      <c r="N374" s="73"/>
      <c r="O374" s="74"/>
      <c r="P374" s="75"/>
      <c r="Q374" s="76"/>
      <c r="S374" s="110"/>
      <c r="T374" s="12"/>
      <c r="U374" s="12"/>
      <c r="V374" s="12"/>
      <c r="W374" s="19"/>
      <c r="X374" s="111"/>
    </row>
    <row r="375" spans="1:24" ht="51" customHeight="1" hidden="1" outlineLevel="1">
      <c r="A375" s="60"/>
      <c r="B375" s="61"/>
      <c r="C375" s="62"/>
      <c r="D375" s="65"/>
      <c r="E375" s="44"/>
      <c r="F375" s="33"/>
      <c r="G375" s="42"/>
      <c r="H375" s="43"/>
      <c r="I375" s="43"/>
      <c r="J375" s="36">
        <f>IF(+I375+H375&gt;0,I375+(H375*labour),"")</f>
      </c>
      <c r="K375" s="37">
        <f>+IF(F375="item",J375,IF(F375&lt;&gt;0,F375*J375,""))</f>
      </c>
      <c r="L375" s="69" t="s">
        <v>164</v>
      </c>
      <c r="M375" s="72"/>
      <c r="N375" s="73"/>
      <c r="O375" s="74"/>
      <c r="P375" s="75"/>
      <c r="Q375" s="76"/>
      <c r="S375" s="110"/>
      <c r="T375" s="12"/>
      <c r="U375" s="12"/>
      <c r="V375" s="12"/>
      <c r="W375" s="19"/>
      <c r="X375" s="111"/>
    </row>
    <row r="376" spans="1:24" ht="12.75" hidden="1" outlineLevel="1">
      <c r="A376" s="60"/>
      <c r="B376" s="61"/>
      <c r="C376" s="62"/>
      <c r="D376" s="65"/>
      <c r="E376" s="44" t="s">
        <v>167</v>
      </c>
      <c r="F376" s="33" t="s">
        <v>1</v>
      </c>
      <c r="G376" s="42"/>
      <c r="H376" s="43">
        <v>24</v>
      </c>
      <c r="I376" s="43"/>
      <c r="J376" s="36">
        <f>IF(+I376+H376&gt;0,I376+(H376*labour),"")</f>
        <v>720</v>
      </c>
      <c r="K376" s="37">
        <f>+IF(F376="item",J376,IF(F376&lt;&gt;0,F376*J376,""))</f>
        <v>720</v>
      </c>
      <c r="L376" s="31" t="s">
        <v>168</v>
      </c>
      <c r="M376" s="72"/>
      <c r="N376" s="73"/>
      <c r="O376" s="74"/>
      <c r="P376" s="75"/>
      <c r="Q376" s="76"/>
      <c r="S376" s="110"/>
      <c r="T376" s="12"/>
      <c r="U376" s="12"/>
      <c r="V376" s="12"/>
      <c r="W376" s="19"/>
      <c r="X376" s="111"/>
    </row>
    <row r="377" spans="1:24" ht="12.75" hidden="1" outlineLevel="1">
      <c r="A377" s="60"/>
      <c r="B377" s="61"/>
      <c r="C377" s="62"/>
      <c r="D377" s="65"/>
      <c r="E377" s="44"/>
      <c r="F377" s="33"/>
      <c r="G377" s="42"/>
      <c r="H377" s="43"/>
      <c r="I377" s="43"/>
      <c r="J377" s="36">
        <f>IF(+I377+H377&gt;0,I377+(H377*labour),"")</f>
      </c>
      <c r="K377" s="37">
        <f>+IF(F377="item",J377,IF(F377&lt;&gt;0,F377*J377,""))</f>
      </c>
      <c r="L377" s="69" t="s">
        <v>169</v>
      </c>
      <c r="M377" s="72"/>
      <c r="N377" s="73"/>
      <c r="O377" s="74"/>
      <c r="P377" s="75"/>
      <c r="Q377" s="76"/>
      <c r="S377" s="110"/>
      <c r="T377" s="12"/>
      <c r="U377" s="12"/>
      <c r="V377" s="12"/>
      <c r="W377" s="19"/>
      <c r="X377" s="111"/>
    </row>
    <row r="378" spans="1:24" ht="12.75" hidden="1" outlineLevel="1">
      <c r="A378" s="60"/>
      <c r="B378" s="61"/>
      <c r="C378" s="62"/>
      <c r="D378" s="65"/>
      <c r="E378" s="44" t="s">
        <v>43</v>
      </c>
      <c r="F378" s="33" t="s">
        <v>1</v>
      </c>
      <c r="G378" s="42"/>
      <c r="H378" s="43"/>
      <c r="I378" s="43"/>
      <c r="J378" s="36">
        <v>100</v>
      </c>
      <c r="K378" s="37">
        <f>+IF(F378="item",J378,IF(F378&lt;&gt;0,F378*J378,""))</f>
        <v>100</v>
      </c>
      <c r="L378" s="31"/>
      <c r="M378" s="72"/>
      <c r="N378" s="73"/>
      <c r="O378" s="74"/>
      <c r="P378" s="75"/>
      <c r="Q378" s="76"/>
      <c r="S378" s="110"/>
      <c r="T378" s="12"/>
      <c r="U378" s="12"/>
      <c r="V378" s="12"/>
      <c r="W378" s="19"/>
      <c r="X378" s="111"/>
    </row>
    <row r="379" spans="1:24" ht="12.75" hidden="1" outlineLevel="1">
      <c r="A379" s="60"/>
      <c r="B379" s="61"/>
      <c r="C379" s="62"/>
      <c r="D379" s="65"/>
      <c r="E379" s="44"/>
      <c r="F379" s="33"/>
      <c r="G379" s="42"/>
      <c r="H379" s="43"/>
      <c r="I379" s="43"/>
      <c r="J379" s="36"/>
      <c r="K379" s="37"/>
      <c r="L379" s="31"/>
      <c r="M379" s="72"/>
      <c r="N379" s="73"/>
      <c r="O379" s="74"/>
      <c r="P379" s="75"/>
      <c r="Q379" s="76"/>
      <c r="S379" s="110"/>
      <c r="T379" s="12"/>
      <c r="U379" s="12"/>
      <c r="V379" s="12"/>
      <c r="W379" s="19"/>
      <c r="X379" s="111"/>
    </row>
    <row r="380" spans="1:24" ht="12.75" hidden="1" outlineLevel="1">
      <c r="A380" s="60"/>
      <c r="B380" s="61"/>
      <c r="C380" s="62"/>
      <c r="D380" s="65"/>
      <c r="E380" s="38" t="s">
        <v>362</v>
      </c>
      <c r="F380" s="33">
        <v>10</v>
      </c>
      <c r="G380" s="34" t="s">
        <v>363</v>
      </c>
      <c r="H380" s="39"/>
      <c r="I380" s="39"/>
      <c r="J380" s="36">
        <f>SUM(K374:K379)</f>
        <v>10385.54</v>
      </c>
      <c r="K380" s="37">
        <f>+J380*F380%</f>
        <v>1038.554</v>
      </c>
      <c r="L380" s="31"/>
      <c r="M380" s="72"/>
      <c r="N380" s="73"/>
      <c r="O380" s="74"/>
      <c r="P380" s="75"/>
      <c r="Q380" s="76"/>
      <c r="S380" s="110"/>
      <c r="T380" s="12"/>
      <c r="U380" s="12"/>
      <c r="V380" s="12"/>
      <c r="W380" s="19"/>
      <c r="X380" s="111"/>
    </row>
    <row r="381" spans="1:24" ht="12.75" collapsed="1">
      <c r="A381" s="60"/>
      <c r="B381" s="61"/>
      <c r="C381" s="62"/>
      <c r="D381" s="65"/>
      <c r="E381" s="44"/>
      <c r="F381" s="33"/>
      <c r="G381" s="42"/>
      <c r="H381" s="43"/>
      <c r="I381" s="43"/>
      <c r="J381" s="36">
        <f>IF(+I381+H381&gt;0,I381+(H381*labour),"")</f>
      </c>
      <c r="K381" s="37">
        <f>+IF(F381="item",J381,IF(F381&lt;&gt;0,F381*J381,""))</f>
      </c>
      <c r="L381" s="31"/>
      <c r="M381" s="33"/>
      <c r="N381" s="42"/>
      <c r="O381" s="36"/>
      <c r="P381" s="37"/>
      <c r="Q381" s="54"/>
      <c r="S381" s="110"/>
      <c r="T381" s="12"/>
      <c r="U381" s="12"/>
      <c r="V381" s="12"/>
      <c r="W381" s="19"/>
      <c r="X381" s="111"/>
    </row>
    <row r="382" spans="1:24" ht="12.75">
      <c r="A382" s="60"/>
      <c r="B382" s="61"/>
      <c r="C382" s="62"/>
      <c r="D382" s="65"/>
      <c r="E382" s="77" t="s">
        <v>173</v>
      </c>
      <c r="F382" s="33"/>
      <c r="G382" s="42"/>
      <c r="H382" s="43"/>
      <c r="I382" s="43"/>
      <c r="J382" s="36"/>
      <c r="K382" s="53">
        <f>SUM(K383:K385)</f>
        <v>15000</v>
      </c>
      <c r="L382" s="31"/>
      <c r="M382" s="72"/>
      <c r="N382" s="73"/>
      <c r="O382" s="74"/>
      <c r="P382" s="75"/>
      <c r="Q382" s="76"/>
      <c r="S382" s="110"/>
      <c r="T382" s="12"/>
      <c r="U382" s="12"/>
      <c r="V382" s="12"/>
      <c r="W382" s="112">
        <f>SUM(W383:W385)</f>
        <v>750</v>
      </c>
      <c r="X382" s="111"/>
    </row>
    <row r="383" spans="1:24" ht="12.75">
      <c r="A383" s="60"/>
      <c r="B383" s="61"/>
      <c r="C383" s="62"/>
      <c r="D383" s="65"/>
      <c r="E383" s="77"/>
      <c r="F383" s="33"/>
      <c r="G383" s="42"/>
      <c r="H383" s="43"/>
      <c r="I383" s="43"/>
      <c r="J383" s="36"/>
      <c r="K383" s="37">
        <f>+IF(F383="item",J383,IF(F383&lt;&gt;0,F383*J383,""))</f>
      </c>
      <c r="L383" s="31"/>
      <c r="M383" s="72"/>
      <c r="N383" s="73"/>
      <c r="O383" s="74"/>
      <c r="P383" s="75"/>
      <c r="Q383" s="76"/>
      <c r="S383" s="113" t="s">
        <v>257</v>
      </c>
      <c r="T383" s="114">
        <f>+K382</f>
        <v>15000</v>
      </c>
      <c r="U383" s="12"/>
      <c r="V383" s="12">
        <v>20</v>
      </c>
      <c r="W383" s="19">
        <f>+T383/V383</f>
        <v>750</v>
      </c>
      <c r="X383" s="111"/>
    </row>
    <row r="384" spans="1:24" ht="12.75" hidden="1" outlineLevel="1">
      <c r="A384" s="60"/>
      <c r="B384" s="61"/>
      <c r="C384" s="62"/>
      <c r="D384" s="65"/>
      <c r="E384" s="44" t="s">
        <v>158</v>
      </c>
      <c r="F384" s="33">
        <v>1</v>
      </c>
      <c r="G384" s="42" t="s">
        <v>8</v>
      </c>
      <c r="H384" s="43"/>
      <c r="I384" s="43"/>
      <c r="J384" s="36">
        <v>15000</v>
      </c>
      <c r="K384" s="37">
        <f>+IF(F384="item",J384,IF(F384&lt;&gt;0,F384*J384,""))</f>
        <v>15000</v>
      </c>
      <c r="L384" s="31" t="s">
        <v>426</v>
      </c>
      <c r="M384" s="72"/>
      <c r="N384" s="73"/>
      <c r="O384" s="74"/>
      <c r="P384" s="75"/>
      <c r="Q384" s="76"/>
      <c r="S384" s="113" t="s">
        <v>251</v>
      </c>
      <c r="T384" s="12"/>
      <c r="U384" s="12"/>
      <c r="V384" s="12"/>
      <c r="W384" s="19"/>
      <c r="X384" s="111"/>
    </row>
    <row r="385" spans="1:24" ht="12.75" hidden="1" outlineLevel="1">
      <c r="A385" s="60"/>
      <c r="B385" s="61"/>
      <c r="C385" s="62"/>
      <c r="D385" s="65"/>
      <c r="E385" s="77"/>
      <c r="F385" s="33"/>
      <c r="G385" s="42"/>
      <c r="H385" s="43"/>
      <c r="I385" s="43"/>
      <c r="J385" s="36"/>
      <c r="K385" s="37">
        <f>+IF(F385="item",J385,IF(F385&lt;&gt;0,F385*J385,""))</f>
      </c>
      <c r="L385" s="31"/>
      <c r="M385" s="72"/>
      <c r="N385" s="73"/>
      <c r="O385" s="74"/>
      <c r="P385" s="75"/>
      <c r="Q385" s="76"/>
      <c r="S385" s="110" t="s">
        <v>277</v>
      </c>
      <c r="T385" s="12"/>
      <c r="U385" s="12" t="s">
        <v>269</v>
      </c>
      <c r="V385" s="12">
        <v>1</v>
      </c>
      <c r="W385" s="19"/>
      <c r="X385" s="111"/>
    </row>
    <row r="386" spans="1:24" ht="12.75" hidden="1" outlineLevel="1">
      <c r="A386" s="60"/>
      <c r="B386" s="61"/>
      <c r="C386" s="62"/>
      <c r="D386" s="65"/>
      <c r="E386" s="44"/>
      <c r="F386" s="33"/>
      <c r="G386" s="42"/>
      <c r="H386" s="43"/>
      <c r="I386" s="43"/>
      <c r="J386" s="36"/>
      <c r="K386" s="37"/>
      <c r="L386" s="31"/>
      <c r="M386" s="33"/>
      <c r="N386" s="42"/>
      <c r="O386" s="36"/>
      <c r="P386" s="37"/>
      <c r="Q386" s="54"/>
      <c r="S386" s="110" t="s">
        <v>270</v>
      </c>
      <c r="T386" s="12"/>
      <c r="U386" s="12" t="s">
        <v>269</v>
      </c>
      <c r="V386" s="12" t="s">
        <v>269</v>
      </c>
      <c r="W386" s="19"/>
      <c r="X386" s="111"/>
    </row>
    <row r="387" spans="1:24" ht="12.75" collapsed="1">
      <c r="A387" s="60"/>
      <c r="B387" s="61"/>
      <c r="C387" s="62"/>
      <c r="D387" s="65"/>
      <c r="E387" s="44"/>
      <c r="F387" s="33"/>
      <c r="G387" s="42"/>
      <c r="H387" s="43"/>
      <c r="I387" s="43"/>
      <c r="J387" s="36"/>
      <c r="K387" s="37"/>
      <c r="L387" s="31"/>
      <c r="M387" s="33"/>
      <c r="N387" s="42"/>
      <c r="O387" s="36"/>
      <c r="P387" s="37"/>
      <c r="Q387" s="54"/>
      <c r="S387" s="110" t="s">
        <v>278</v>
      </c>
      <c r="T387" s="12"/>
      <c r="U387" s="12" t="s">
        <v>269</v>
      </c>
      <c r="V387" s="12" t="s">
        <v>269</v>
      </c>
      <c r="W387" s="19"/>
      <c r="X387" s="111"/>
    </row>
    <row r="388" spans="1:24" ht="12.75">
      <c r="A388" s="60"/>
      <c r="B388" s="61"/>
      <c r="C388" s="62"/>
      <c r="D388" s="65"/>
      <c r="E388" s="44"/>
      <c r="F388" s="33"/>
      <c r="G388" s="42"/>
      <c r="H388" s="43"/>
      <c r="I388" s="43"/>
      <c r="J388" s="36"/>
      <c r="K388" s="37"/>
      <c r="L388" s="31"/>
      <c r="M388" s="33"/>
      <c r="N388" s="42"/>
      <c r="O388" s="36"/>
      <c r="P388" s="37"/>
      <c r="Q388" s="54"/>
      <c r="S388" s="110"/>
      <c r="T388" s="12"/>
      <c r="U388" s="12"/>
      <c r="V388" s="12"/>
      <c r="W388" s="19"/>
      <c r="X388" s="111"/>
    </row>
    <row r="389" spans="1:24" ht="12.75">
      <c r="A389" s="60"/>
      <c r="B389" s="61"/>
      <c r="C389" s="62"/>
      <c r="D389" s="65"/>
      <c r="E389" s="44"/>
      <c r="F389" s="33"/>
      <c r="G389" s="42"/>
      <c r="H389" s="43"/>
      <c r="I389" s="43"/>
      <c r="J389" s="36"/>
      <c r="K389" s="37"/>
      <c r="L389" s="31"/>
      <c r="M389" s="33"/>
      <c r="N389" s="42"/>
      <c r="O389" s="36"/>
      <c r="P389" s="37"/>
      <c r="Q389" s="54"/>
      <c r="S389" s="110"/>
      <c r="T389" s="12"/>
      <c r="U389" s="12"/>
      <c r="V389" s="12"/>
      <c r="W389" s="19"/>
      <c r="X389" s="111"/>
    </row>
    <row r="390" spans="1:24" ht="12.75">
      <c r="A390" s="60"/>
      <c r="B390" s="61"/>
      <c r="C390" s="62"/>
      <c r="D390" s="65"/>
      <c r="E390" s="44"/>
      <c r="F390" s="33"/>
      <c r="G390" s="42"/>
      <c r="H390" s="43"/>
      <c r="I390" s="43"/>
      <c r="J390" s="36"/>
      <c r="K390" s="37"/>
      <c r="L390" s="31"/>
      <c r="M390" s="33"/>
      <c r="N390" s="42"/>
      <c r="O390" s="36"/>
      <c r="P390" s="37"/>
      <c r="Q390" s="54"/>
      <c r="S390" s="110"/>
      <c r="T390" s="12"/>
      <c r="U390" s="12"/>
      <c r="V390" s="12"/>
      <c r="W390" s="19"/>
      <c r="X390" s="111"/>
    </row>
    <row r="391" spans="1:24" ht="12.75">
      <c r="A391" s="60"/>
      <c r="B391" s="61"/>
      <c r="C391" s="62"/>
      <c r="D391" s="65"/>
      <c r="E391" s="44"/>
      <c r="F391" s="33"/>
      <c r="G391" s="42"/>
      <c r="H391" s="43"/>
      <c r="I391" s="43"/>
      <c r="J391" s="36">
        <f>IF(+I391+H391&gt;0,I391+(H391*labour),"")</f>
      </c>
      <c r="K391" s="37">
        <f>+IF(F391="item",J391,IF(F391&lt;&gt;0,F391*J391,""))</f>
      </c>
      <c r="L391" s="31"/>
      <c r="M391" s="33"/>
      <c r="N391" s="42"/>
      <c r="O391" s="36"/>
      <c r="P391" s="37"/>
      <c r="Q391" s="54"/>
      <c r="S391" s="110"/>
      <c r="T391" s="12"/>
      <c r="U391" s="12"/>
      <c r="V391" s="12"/>
      <c r="W391" s="19"/>
      <c r="X391" s="111"/>
    </row>
    <row r="392" spans="1:24" ht="12.75">
      <c r="A392" s="60"/>
      <c r="B392" s="61"/>
      <c r="C392" s="62"/>
      <c r="D392" s="63"/>
      <c r="E392" s="46"/>
      <c r="F392" s="47"/>
      <c r="G392" s="48"/>
      <c r="H392" s="49"/>
      <c r="I392" s="49"/>
      <c r="J392" s="50"/>
      <c r="K392" s="51"/>
      <c r="L392" s="95"/>
      <c r="M392" s="16"/>
      <c r="N392" s="17"/>
      <c r="O392" s="23"/>
      <c r="P392" s="18"/>
      <c r="Q392" s="18"/>
      <c r="S392" s="123"/>
      <c r="T392" s="21"/>
      <c r="U392" s="21"/>
      <c r="V392" s="21"/>
      <c r="W392" s="20"/>
      <c r="X392" s="124"/>
    </row>
    <row r="393" spans="1:4" ht="12.75">
      <c r="A393" s="60"/>
      <c r="B393" s="61"/>
      <c r="C393" s="62"/>
      <c r="D393" s="63"/>
    </row>
    <row r="394" spans="1:4" ht="12.75">
      <c r="A394" s="60"/>
      <c r="B394" s="61"/>
      <c r="C394" s="62"/>
      <c r="D394" s="63"/>
    </row>
    <row r="395" spans="1:4" ht="12.75">
      <c r="A395" s="60"/>
      <c r="B395" s="61"/>
      <c r="C395" s="62"/>
      <c r="D395" s="63"/>
    </row>
    <row r="396" spans="1:4" ht="12.75">
      <c r="A396" s="60"/>
      <c r="B396" s="61"/>
      <c r="C396" s="62"/>
      <c r="D396" s="63"/>
    </row>
    <row r="397" spans="1:4" ht="12.75">
      <c r="A397" s="60"/>
      <c r="B397" s="61"/>
      <c r="C397" s="62"/>
      <c r="D397" s="63"/>
    </row>
    <row r="398" spans="1:4" ht="12.75">
      <c r="A398" s="60"/>
      <c r="B398" s="61"/>
      <c r="C398" s="62"/>
      <c r="D398" s="63"/>
    </row>
    <row r="399" spans="1:4" ht="12.75">
      <c r="A399" s="60"/>
      <c r="B399" s="61"/>
      <c r="C399" s="62"/>
      <c r="D399" s="63"/>
    </row>
    <row r="400" spans="1:4" ht="12.75">
      <c r="A400" s="60"/>
      <c r="B400" s="61"/>
      <c r="C400" s="62"/>
      <c r="D400" s="63"/>
    </row>
    <row r="401" spans="1:4" ht="12.75">
      <c r="A401" s="60"/>
      <c r="B401" s="61"/>
      <c r="C401" s="62"/>
      <c r="D401" s="63"/>
    </row>
    <row r="402" spans="1:4" ht="12.75">
      <c r="A402" s="60"/>
      <c r="B402" s="61"/>
      <c r="C402" s="62"/>
      <c r="D402" s="63"/>
    </row>
    <row r="403" spans="1:4" ht="12.75">
      <c r="A403" s="60"/>
      <c r="B403" s="61"/>
      <c r="C403" s="62"/>
      <c r="D403" s="63"/>
    </row>
    <row r="404" spans="1:4" ht="12.75">
      <c r="A404" s="60"/>
      <c r="B404" s="61"/>
      <c r="C404" s="62"/>
      <c r="D404" s="63"/>
    </row>
    <row r="405" spans="1:4" ht="12.75">
      <c r="A405" s="60"/>
      <c r="B405" s="61"/>
      <c r="C405" s="62"/>
      <c r="D405" s="63"/>
    </row>
    <row r="406" spans="1:4" ht="12.75">
      <c r="A406" s="60"/>
      <c r="B406" s="61"/>
      <c r="C406" s="62"/>
      <c r="D406" s="63"/>
    </row>
    <row r="407" spans="1:4" ht="12.75">
      <c r="A407" s="60"/>
      <c r="B407" s="61"/>
      <c r="C407" s="62"/>
      <c r="D407" s="63"/>
    </row>
    <row r="408" spans="1:4" ht="12.75">
      <c r="A408" s="60"/>
      <c r="B408" s="61"/>
      <c r="C408" s="62"/>
      <c r="D408" s="63"/>
    </row>
    <row r="409" spans="1:4" ht="12.75">
      <c r="A409" s="60"/>
      <c r="B409" s="61"/>
      <c r="C409" s="62"/>
      <c r="D409" s="63"/>
    </row>
    <row r="410" spans="1:4" ht="12.75">
      <c r="A410" s="60"/>
      <c r="B410" s="61"/>
      <c r="C410" s="62"/>
      <c r="D410" s="63"/>
    </row>
    <row r="411" spans="1:4" ht="12.75">
      <c r="A411" s="60"/>
      <c r="B411" s="61"/>
      <c r="C411" s="62"/>
      <c r="D411" s="63"/>
    </row>
    <row r="412" spans="1:4" ht="12.75">
      <c r="A412" s="60"/>
      <c r="B412" s="61"/>
      <c r="C412" s="62"/>
      <c r="D412" s="63"/>
    </row>
    <row r="413" spans="1:4" ht="12.75">
      <c r="A413" s="60"/>
      <c r="B413" s="61"/>
      <c r="C413" s="62"/>
      <c r="D413" s="63"/>
    </row>
    <row r="414" spans="1:4" ht="12.75">
      <c r="A414" s="60"/>
      <c r="B414" s="61"/>
      <c r="C414" s="62"/>
      <c r="D414" s="63"/>
    </row>
    <row r="415" spans="1:4" ht="12.75">
      <c r="A415" s="60"/>
      <c r="B415" s="61"/>
      <c r="C415" s="62"/>
      <c r="D415" s="63"/>
    </row>
    <row r="416" spans="1:4" ht="12.75">
      <c r="A416" s="60"/>
      <c r="B416" s="61"/>
      <c r="C416" s="62"/>
      <c r="D416" s="63"/>
    </row>
    <row r="417" spans="1:4" ht="12.75">
      <c r="A417" s="60"/>
      <c r="B417" s="61"/>
      <c r="C417" s="62"/>
      <c r="D417" s="63"/>
    </row>
    <row r="418" spans="1:4" ht="12.75">
      <c r="A418" s="60"/>
      <c r="B418" s="61"/>
      <c r="C418" s="62"/>
      <c r="D418" s="63"/>
    </row>
    <row r="419" spans="1:4" ht="12.75">
      <c r="A419" s="60"/>
      <c r="B419" s="61"/>
      <c r="C419" s="62"/>
      <c r="D419" s="63"/>
    </row>
    <row r="420" spans="1:4" ht="12.75">
      <c r="A420" s="60"/>
      <c r="B420" s="61"/>
      <c r="C420" s="62"/>
      <c r="D420" s="63"/>
    </row>
    <row r="421" spans="1:4" ht="12.75">
      <c r="A421" s="60"/>
      <c r="B421" s="61"/>
      <c r="C421" s="62"/>
      <c r="D421" s="63"/>
    </row>
    <row r="422" spans="1:4" ht="12.75">
      <c r="A422" s="60"/>
      <c r="B422" s="61"/>
      <c r="C422" s="62"/>
      <c r="D422" s="63"/>
    </row>
    <row r="423" spans="1:4" ht="12.75">
      <c r="A423" s="60"/>
      <c r="B423" s="61"/>
      <c r="C423" s="62"/>
      <c r="D423" s="63"/>
    </row>
    <row r="424" spans="1:4" ht="12.75">
      <c r="A424" s="60"/>
      <c r="B424" s="61"/>
      <c r="C424" s="62"/>
      <c r="D424" s="63"/>
    </row>
    <row r="425" spans="1:4" ht="12.75">
      <c r="A425" s="60"/>
      <c r="B425" s="61"/>
      <c r="C425" s="62"/>
      <c r="D425" s="63"/>
    </row>
    <row r="426" spans="1:4" ht="12.75">
      <c r="A426" s="60"/>
      <c r="B426" s="61"/>
      <c r="C426" s="62"/>
      <c r="D426" s="63"/>
    </row>
    <row r="427" spans="1:4" ht="12.75">
      <c r="A427" s="60"/>
      <c r="B427" s="61"/>
      <c r="C427" s="62"/>
      <c r="D427" s="63"/>
    </row>
    <row r="428" spans="1:4" ht="12.75">
      <c r="A428" s="60"/>
      <c r="B428" s="61"/>
      <c r="C428" s="62"/>
      <c r="D428" s="63"/>
    </row>
    <row r="429" spans="1:4" ht="12.75">
      <c r="A429" s="60"/>
      <c r="B429" s="61"/>
      <c r="C429" s="62"/>
      <c r="D429" s="63"/>
    </row>
    <row r="430" spans="1:4" ht="12.75">
      <c r="A430" s="60"/>
      <c r="B430" s="61"/>
      <c r="C430" s="62"/>
      <c r="D430" s="63"/>
    </row>
    <row r="431" spans="1:4" ht="12.75">
      <c r="A431" s="60"/>
      <c r="B431" s="61"/>
      <c r="C431" s="62"/>
      <c r="D431" s="63"/>
    </row>
    <row r="432" spans="1:4" ht="12.75">
      <c r="A432" s="60"/>
      <c r="B432" s="61"/>
      <c r="C432" s="62"/>
      <c r="D432" s="63"/>
    </row>
    <row r="433" spans="1:4" ht="12.75">
      <c r="A433" s="60"/>
      <c r="B433" s="61"/>
      <c r="C433" s="62"/>
      <c r="D433" s="63"/>
    </row>
    <row r="434" spans="1:4" ht="12.75">
      <c r="A434" s="60"/>
      <c r="B434" s="61"/>
      <c r="C434" s="62"/>
      <c r="D434" s="63"/>
    </row>
    <row r="435" spans="1:4" ht="12.75">
      <c r="A435" s="60"/>
      <c r="B435" s="61"/>
      <c r="C435" s="62"/>
      <c r="D435" s="63"/>
    </row>
    <row r="436" spans="1:4" ht="12.75">
      <c r="A436" s="60"/>
      <c r="B436" s="61"/>
      <c r="C436" s="62"/>
      <c r="D436" s="63"/>
    </row>
    <row r="437" spans="1:4" ht="12.75">
      <c r="A437" s="60"/>
      <c r="B437" s="61"/>
      <c r="C437" s="62"/>
      <c r="D437" s="63"/>
    </row>
    <row r="438" spans="1:4" ht="12.75">
      <c r="A438" s="60"/>
      <c r="B438" s="61"/>
      <c r="C438" s="62"/>
      <c r="D438" s="63"/>
    </row>
    <row r="439" spans="1:4" ht="12.75">
      <c r="A439" s="60"/>
      <c r="B439" s="61"/>
      <c r="C439" s="62"/>
      <c r="D439" s="63"/>
    </row>
    <row r="440" spans="1:4" ht="12.75">
      <c r="A440" s="60"/>
      <c r="B440" s="61"/>
      <c r="C440" s="62"/>
      <c r="D440" s="63"/>
    </row>
    <row r="441" spans="1:4" ht="12.75">
      <c r="A441" s="60"/>
      <c r="B441" s="61"/>
      <c r="C441" s="62"/>
      <c r="D441" s="63"/>
    </row>
    <row r="442" spans="1:4" ht="12.75">
      <c r="A442" s="60"/>
      <c r="B442" s="61"/>
      <c r="C442" s="62"/>
      <c r="D442" s="63"/>
    </row>
    <row r="443" spans="1:4" ht="12.75">
      <c r="A443" s="60"/>
      <c r="B443" s="61"/>
      <c r="C443" s="62"/>
      <c r="D443" s="63"/>
    </row>
    <row r="444" spans="1:4" ht="12.75">
      <c r="A444" s="60"/>
      <c r="B444" s="61"/>
      <c r="C444" s="62"/>
      <c r="D444" s="63"/>
    </row>
    <row r="445" spans="1:4" ht="12.75">
      <c r="A445" s="60"/>
      <c r="B445" s="61"/>
      <c r="C445" s="62"/>
      <c r="D445" s="63"/>
    </row>
    <row r="446" spans="1:4" ht="12.75">
      <c r="A446" s="60"/>
      <c r="B446" s="61"/>
      <c r="C446" s="62"/>
      <c r="D446" s="63"/>
    </row>
    <row r="447" spans="1:4" ht="12.75">
      <c r="A447" s="60"/>
      <c r="B447" s="61"/>
      <c r="C447" s="62"/>
      <c r="D447" s="63"/>
    </row>
    <row r="448" spans="1:4" ht="12.75">
      <c r="A448" s="60"/>
      <c r="B448" s="61"/>
      <c r="C448" s="62"/>
      <c r="D448" s="63"/>
    </row>
    <row r="449" spans="1:4" ht="12.75">
      <c r="A449" s="60"/>
      <c r="B449" s="61"/>
      <c r="C449" s="62"/>
      <c r="D449" s="63"/>
    </row>
    <row r="450" spans="1:4" ht="12.75">
      <c r="A450" s="60"/>
      <c r="B450" s="61"/>
      <c r="C450" s="62"/>
      <c r="D450" s="63"/>
    </row>
    <row r="451" spans="1:4" ht="12.75">
      <c r="A451" s="60"/>
      <c r="B451" s="61"/>
      <c r="C451" s="62"/>
      <c r="D451" s="63"/>
    </row>
    <row r="452" spans="1:4" ht="12.75">
      <c r="A452" s="60"/>
      <c r="B452" s="61"/>
      <c r="C452" s="62"/>
      <c r="D452" s="63"/>
    </row>
    <row r="453" spans="1:4" ht="12.75">
      <c r="A453" s="60"/>
      <c r="B453" s="61"/>
      <c r="C453" s="62"/>
      <c r="D453" s="63"/>
    </row>
    <row r="454" spans="1:4" ht="12.75">
      <c r="A454" s="60"/>
      <c r="B454" s="61"/>
      <c r="C454" s="62"/>
      <c r="D454" s="63"/>
    </row>
    <row r="455" spans="1:4" ht="12.75">
      <c r="A455" s="60"/>
      <c r="B455" s="61"/>
      <c r="C455" s="62"/>
      <c r="D455" s="63"/>
    </row>
    <row r="456" spans="1:4" ht="12.75">
      <c r="A456" s="60"/>
      <c r="B456" s="61"/>
      <c r="C456" s="62"/>
      <c r="D456" s="63"/>
    </row>
    <row r="457" spans="1:4" ht="12.75">
      <c r="A457" s="60"/>
      <c r="B457" s="61"/>
      <c r="C457" s="62"/>
      <c r="D457" s="63"/>
    </row>
    <row r="458" spans="1:4" ht="12.75">
      <c r="A458" s="60"/>
      <c r="B458" s="61"/>
      <c r="C458" s="62"/>
      <c r="D458" s="63"/>
    </row>
    <row r="459" spans="1:4" ht="12.75">
      <c r="A459" s="60"/>
      <c r="B459" s="61"/>
      <c r="C459" s="62"/>
      <c r="D459" s="63"/>
    </row>
    <row r="460" spans="1:4" ht="12.75">
      <c r="A460" s="60"/>
      <c r="B460" s="61"/>
      <c r="C460" s="62"/>
      <c r="D460" s="63"/>
    </row>
    <row r="461" spans="1:4" ht="12.75">
      <c r="A461" s="60"/>
      <c r="B461" s="61"/>
      <c r="C461" s="62"/>
      <c r="D461" s="63"/>
    </row>
    <row r="462" spans="1:4" ht="12.75">
      <c r="A462" s="60"/>
      <c r="B462" s="61"/>
      <c r="C462" s="62"/>
      <c r="D462" s="63"/>
    </row>
    <row r="463" spans="1:4" ht="12.75">
      <c r="A463" s="60"/>
      <c r="B463" s="61"/>
      <c r="C463" s="62"/>
      <c r="D463" s="63"/>
    </row>
    <row r="464" spans="1:4" ht="12.75">
      <c r="A464" s="60"/>
      <c r="B464" s="61"/>
      <c r="C464" s="62"/>
      <c r="D464" s="63"/>
    </row>
    <row r="465" spans="1:4" ht="12.75">
      <c r="A465" s="60"/>
      <c r="B465" s="61"/>
      <c r="C465" s="62"/>
      <c r="D465" s="63"/>
    </row>
    <row r="466" spans="1:4" ht="12.75">
      <c r="A466" s="60"/>
      <c r="B466" s="61"/>
      <c r="C466" s="62"/>
      <c r="D466" s="63"/>
    </row>
    <row r="467" spans="1:4" ht="12.75">
      <c r="A467" s="60"/>
      <c r="B467" s="61"/>
      <c r="C467" s="62"/>
      <c r="D467" s="63"/>
    </row>
    <row r="468" spans="1:4" ht="12.75">
      <c r="A468" s="60"/>
      <c r="B468" s="61"/>
      <c r="C468" s="62"/>
      <c r="D468" s="63"/>
    </row>
    <row r="469" spans="1:4" ht="12.75">
      <c r="A469" s="60"/>
      <c r="B469" s="61"/>
      <c r="C469" s="62"/>
      <c r="D469" s="63"/>
    </row>
    <row r="470" spans="1:4" ht="12.75">
      <c r="A470" s="60"/>
      <c r="B470" s="61"/>
      <c r="C470" s="62"/>
      <c r="D470" s="63"/>
    </row>
    <row r="471" spans="1:4" ht="12.75">
      <c r="A471" s="60"/>
      <c r="B471" s="61"/>
      <c r="C471" s="62"/>
      <c r="D471" s="63"/>
    </row>
    <row r="472" spans="1:4" ht="12.75">
      <c r="A472" s="60"/>
      <c r="B472" s="61"/>
      <c r="C472" s="62"/>
      <c r="D472" s="63"/>
    </row>
    <row r="473" spans="1:4" ht="12.75">
      <c r="A473" s="60"/>
      <c r="B473" s="61"/>
      <c r="C473" s="62"/>
      <c r="D473" s="63"/>
    </row>
    <row r="474" spans="1:4" ht="12.75">
      <c r="A474" s="60"/>
      <c r="B474" s="61"/>
      <c r="C474" s="62"/>
      <c r="D474" s="63"/>
    </row>
    <row r="475" spans="1:4" ht="12.75">
      <c r="A475" s="60"/>
      <c r="B475" s="61"/>
      <c r="C475" s="62"/>
      <c r="D475" s="63"/>
    </row>
    <row r="476" spans="1:4" ht="12.75">
      <c r="A476" s="60"/>
      <c r="B476" s="61"/>
      <c r="C476" s="62"/>
      <c r="D476" s="63"/>
    </row>
    <row r="477" spans="1:4" ht="12.75">
      <c r="A477" s="60"/>
      <c r="B477" s="61"/>
      <c r="C477" s="62"/>
      <c r="D477" s="63"/>
    </row>
    <row r="478" spans="1:4" ht="12.75">
      <c r="A478" s="60"/>
      <c r="B478" s="61"/>
      <c r="C478" s="62"/>
      <c r="D478" s="63"/>
    </row>
    <row r="479" spans="1:4" ht="12.75">
      <c r="A479" s="60"/>
      <c r="B479" s="61"/>
      <c r="C479" s="62"/>
      <c r="D479" s="63"/>
    </row>
    <row r="480" spans="1:4" ht="12.75">
      <c r="A480" s="60"/>
      <c r="B480" s="61"/>
      <c r="C480" s="62"/>
      <c r="D480" s="63"/>
    </row>
    <row r="481" spans="1:4" ht="12.75">
      <c r="A481" s="60"/>
      <c r="B481" s="61"/>
      <c r="C481" s="62"/>
      <c r="D481" s="63"/>
    </row>
    <row r="482" spans="1:4" ht="12.75">
      <c r="A482" s="60"/>
      <c r="B482" s="61"/>
      <c r="C482" s="62"/>
      <c r="D482" s="63"/>
    </row>
    <row r="483" spans="1:4" ht="12.75">
      <c r="A483" s="60"/>
      <c r="B483" s="61"/>
      <c r="C483" s="62"/>
      <c r="D483" s="63"/>
    </row>
    <row r="484" spans="1:4" ht="12.75">
      <c r="A484" s="60"/>
      <c r="B484" s="61"/>
      <c r="C484" s="62"/>
      <c r="D484" s="63"/>
    </row>
    <row r="485" spans="1:4" ht="12.75">
      <c r="A485" s="60"/>
      <c r="B485" s="61"/>
      <c r="C485" s="62"/>
      <c r="D485" s="63"/>
    </row>
    <row r="486" spans="1:4" ht="12.75">
      <c r="A486" s="60"/>
      <c r="B486" s="61"/>
      <c r="C486" s="62"/>
      <c r="D486" s="63"/>
    </row>
    <row r="487" spans="1:4" ht="12.75">
      <c r="A487" s="60"/>
      <c r="B487" s="61"/>
      <c r="C487" s="62"/>
      <c r="D487" s="63"/>
    </row>
    <row r="488" spans="1:4" ht="12.75">
      <c r="A488" s="60"/>
      <c r="B488" s="61"/>
      <c r="C488" s="62"/>
      <c r="D488" s="63"/>
    </row>
    <row r="489" spans="1:4" ht="12.75">
      <c r="A489" s="60"/>
      <c r="B489" s="61"/>
      <c r="C489" s="62"/>
      <c r="D489" s="63"/>
    </row>
    <row r="490" spans="1:4" ht="12.75">
      <c r="A490" s="60"/>
      <c r="B490" s="61"/>
      <c r="C490" s="62"/>
      <c r="D490" s="63"/>
    </row>
    <row r="491" spans="1:4" ht="12.75">
      <c r="A491" s="60"/>
      <c r="B491" s="61"/>
      <c r="C491" s="62"/>
      <c r="D491" s="63"/>
    </row>
    <row r="492" spans="1:4" ht="12.75">
      <c r="A492" s="60"/>
      <c r="B492" s="61"/>
      <c r="C492" s="62"/>
      <c r="D492" s="63"/>
    </row>
    <row r="493" spans="1:4" ht="12.75">
      <c r="A493" s="60"/>
      <c r="B493" s="61"/>
      <c r="C493" s="62"/>
      <c r="D493" s="63"/>
    </row>
    <row r="494" spans="1:4" ht="12.75">
      <c r="A494" s="60"/>
      <c r="B494" s="61"/>
      <c r="C494" s="62"/>
      <c r="D494" s="63"/>
    </row>
    <row r="495" spans="1:4" ht="12.75">
      <c r="A495" s="60"/>
      <c r="B495" s="61"/>
      <c r="C495" s="62"/>
      <c r="D495" s="63"/>
    </row>
    <row r="496" spans="1:4" ht="12.75">
      <c r="A496" s="60"/>
      <c r="B496" s="61"/>
      <c r="C496" s="62"/>
      <c r="D496" s="63"/>
    </row>
    <row r="497" spans="1:4" ht="12.75">
      <c r="A497" s="60"/>
      <c r="B497" s="61"/>
      <c r="C497" s="62"/>
      <c r="D497" s="63"/>
    </row>
    <row r="498" spans="1:4" ht="12.75">
      <c r="A498" s="60"/>
      <c r="B498" s="61"/>
      <c r="C498" s="62"/>
      <c r="D498" s="63"/>
    </row>
    <row r="499" spans="1:4" ht="12.75">
      <c r="A499" s="60"/>
      <c r="B499" s="61"/>
      <c r="C499" s="62"/>
      <c r="D499" s="63"/>
    </row>
    <row r="500" spans="1:4" ht="12.75">
      <c r="A500" s="60"/>
      <c r="B500" s="61"/>
      <c r="C500" s="62"/>
      <c r="D500" s="63"/>
    </row>
    <row r="501" spans="1:4" ht="12.75">
      <c r="A501" s="60"/>
      <c r="B501" s="61"/>
      <c r="C501" s="62"/>
      <c r="D501" s="63"/>
    </row>
    <row r="502" spans="1:4" ht="12.75">
      <c r="A502" s="60"/>
      <c r="B502" s="61"/>
      <c r="C502" s="62"/>
      <c r="D502" s="63"/>
    </row>
    <row r="503" spans="1:4" ht="12.75">
      <c r="A503" s="60"/>
      <c r="B503" s="61"/>
      <c r="C503" s="62"/>
      <c r="D503" s="63"/>
    </row>
    <row r="504" spans="1:4" ht="12.75">
      <c r="A504" s="60"/>
      <c r="B504" s="61"/>
      <c r="C504" s="62"/>
      <c r="D504" s="63"/>
    </row>
    <row r="505" spans="1:4" ht="12.75">
      <c r="A505" s="60"/>
      <c r="B505" s="61"/>
      <c r="C505" s="62"/>
      <c r="D505" s="63"/>
    </row>
    <row r="506" spans="1:4" ht="12.75">
      <c r="A506" s="60"/>
      <c r="B506" s="61"/>
      <c r="C506" s="62"/>
      <c r="D506" s="63"/>
    </row>
    <row r="507" spans="1:4" ht="12.75">
      <c r="A507" s="60"/>
      <c r="B507" s="61"/>
      <c r="C507" s="62"/>
      <c r="D507" s="63"/>
    </row>
    <row r="508" spans="1:4" ht="12.75">
      <c r="A508" s="60"/>
      <c r="B508" s="61"/>
      <c r="C508" s="62"/>
      <c r="D508" s="63"/>
    </row>
    <row r="509" spans="1:4" ht="12.75">
      <c r="A509" s="60"/>
      <c r="B509" s="61"/>
      <c r="C509" s="62"/>
      <c r="D509" s="63"/>
    </row>
    <row r="510" spans="1:4" ht="12.75">
      <c r="A510" s="60"/>
      <c r="B510" s="61"/>
      <c r="C510" s="62"/>
      <c r="D510" s="63"/>
    </row>
    <row r="511" spans="1:4" ht="12.75">
      <c r="A511" s="60"/>
      <c r="B511" s="61"/>
      <c r="C511" s="62"/>
      <c r="D511" s="63"/>
    </row>
    <row r="512" spans="1:4" ht="12.75">
      <c r="A512" s="60"/>
      <c r="B512" s="61"/>
      <c r="C512" s="62"/>
      <c r="D512" s="63"/>
    </row>
    <row r="513" spans="1:4" ht="12.75">
      <c r="A513" s="60"/>
      <c r="B513" s="61"/>
      <c r="C513" s="62"/>
      <c r="D513" s="63"/>
    </row>
    <row r="514" spans="1:4" ht="12.75">
      <c r="A514" s="60"/>
      <c r="B514" s="61"/>
      <c r="C514" s="62"/>
      <c r="D514" s="63"/>
    </row>
    <row r="515" spans="1:4" ht="12.75">
      <c r="A515" s="60"/>
      <c r="B515" s="61"/>
      <c r="C515" s="62"/>
      <c r="D515" s="63"/>
    </row>
    <row r="516" spans="1:4" ht="12.75">
      <c r="A516" s="60"/>
      <c r="B516" s="61"/>
      <c r="C516" s="62"/>
      <c r="D516" s="63"/>
    </row>
    <row r="517" spans="1:4" ht="12.75">
      <c r="A517" s="60"/>
      <c r="B517" s="61"/>
      <c r="C517" s="62"/>
      <c r="D517" s="63"/>
    </row>
    <row r="518" spans="1:4" ht="12.75">
      <c r="A518" s="60"/>
      <c r="B518" s="61"/>
      <c r="C518" s="62"/>
      <c r="D518" s="63"/>
    </row>
    <row r="519" spans="1:4" ht="12.75">
      <c r="A519" s="60"/>
      <c r="B519" s="61"/>
      <c r="C519" s="62"/>
      <c r="D519" s="63"/>
    </row>
    <row r="520" spans="1:4" ht="12.75">
      <c r="A520" s="60"/>
      <c r="B520" s="61"/>
      <c r="C520" s="62"/>
      <c r="D520" s="63"/>
    </row>
    <row r="521" spans="1:4" ht="12.75">
      <c r="A521" s="60"/>
      <c r="B521" s="61"/>
      <c r="C521" s="62"/>
      <c r="D521" s="63"/>
    </row>
    <row r="522" spans="1:4" ht="12.75">
      <c r="A522" s="60"/>
      <c r="B522" s="61"/>
      <c r="C522" s="62"/>
      <c r="D522" s="63"/>
    </row>
    <row r="523" spans="1:4" ht="12.75">
      <c r="A523" s="60"/>
      <c r="B523" s="61"/>
      <c r="C523" s="62"/>
      <c r="D523" s="63"/>
    </row>
    <row r="524" spans="1:4" ht="12.75">
      <c r="A524" s="60"/>
      <c r="B524" s="61"/>
      <c r="C524" s="62"/>
      <c r="D524" s="63"/>
    </row>
    <row r="525" spans="1:4" ht="12.75">
      <c r="A525" s="60"/>
      <c r="B525" s="61"/>
      <c r="C525" s="62"/>
      <c r="D525" s="63"/>
    </row>
    <row r="526" spans="1:4" ht="12.75">
      <c r="A526" s="60"/>
      <c r="B526" s="61"/>
      <c r="C526" s="62"/>
      <c r="D526" s="63"/>
    </row>
    <row r="527" spans="1:4" ht="12.75">
      <c r="A527" s="60"/>
      <c r="B527" s="61"/>
      <c r="C527" s="62"/>
      <c r="D527" s="63"/>
    </row>
    <row r="528" spans="1:4" ht="12.75">
      <c r="A528" s="60"/>
      <c r="B528" s="61"/>
      <c r="C528" s="62"/>
      <c r="D528" s="63"/>
    </row>
    <row r="529" spans="1:4" ht="12.75">
      <c r="A529" s="60"/>
      <c r="B529" s="61"/>
      <c r="C529" s="62"/>
      <c r="D529" s="63"/>
    </row>
    <row r="530" spans="1:4" ht="12.75">
      <c r="A530" s="60"/>
      <c r="B530" s="61"/>
      <c r="C530" s="62"/>
      <c r="D530" s="63"/>
    </row>
    <row r="531" spans="1:4" ht="12.75">
      <c r="A531" s="60"/>
      <c r="B531" s="61"/>
      <c r="C531" s="62"/>
      <c r="D531" s="63"/>
    </row>
    <row r="532" spans="1:4" ht="12.75">
      <c r="A532" s="60"/>
      <c r="B532" s="61"/>
      <c r="C532" s="62"/>
      <c r="D532" s="63"/>
    </row>
    <row r="533" spans="1:4" ht="12.75">
      <c r="A533" s="60"/>
      <c r="B533" s="61"/>
      <c r="C533" s="62"/>
      <c r="D533" s="63"/>
    </row>
    <row r="534" spans="1:4" ht="12.75">
      <c r="A534" s="60"/>
      <c r="B534" s="61"/>
      <c r="C534" s="62"/>
      <c r="D534" s="63"/>
    </row>
    <row r="535" spans="1:4" ht="12.75">
      <c r="A535" s="60"/>
      <c r="B535" s="61"/>
      <c r="C535" s="62"/>
      <c r="D535" s="63"/>
    </row>
    <row r="536" spans="1:4" ht="12.75">
      <c r="A536" s="60"/>
      <c r="B536" s="61"/>
      <c r="C536" s="62"/>
      <c r="D536" s="63"/>
    </row>
    <row r="537" spans="1:4" ht="12.75">
      <c r="A537" s="60"/>
      <c r="B537" s="61"/>
      <c r="C537" s="62"/>
      <c r="D537" s="63"/>
    </row>
    <row r="538" spans="1:4" ht="12.75">
      <c r="A538" s="60"/>
      <c r="B538" s="61"/>
      <c r="C538" s="62"/>
      <c r="D538" s="63"/>
    </row>
    <row r="539" spans="1:4" ht="12.75">
      <c r="A539" s="60"/>
      <c r="B539" s="61"/>
      <c r="C539" s="62"/>
      <c r="D539" s="63"/>
    </row>
    <row r="540" spans="1:4" ht="12.75">
      <c r="A540" s="60"/>
      <c r="B540" s="61"/>
      <c r="C540" s="62"/>
      <c r="D540" s="63"/>
    </row>
    <row r="541" spans="1:4" ht="12.75">
      <c r="A541" s="60"/>
      <c r="B541" s="61"/>
      <c r="C541" s="62"/>
      <c r="D541" s="63"/>
    </row>
    <row r="542" spans="1:4" ht="12.75">
      <c r="A542" s="60"/>
      <c r="B542" s="61"/>
      <c r="C542" s="62"/>
      <c r="D542" s="63"/>
    </row>
    <row r="543" spans="1:4" ht="12.75">
      <c r="A543" s="60"/>
      <c r="B543" s="61"/>
      <c r="C543" s="62"/>
      <c r="D543" s="63"/>
    </row>
    <row r="544" spans="1:4" ht="12.75">
      <c r="A544" s="60"/>
      <c r="B544" s="61"/>
      <c r="C544" s="62"/>
      <c r="D544" s="63"/>
    </row>
    <row r="545" spans="1:4" ht="12.75">
      <c r="A545" s="60"/>
      <c r="B545" s="61"/>
      <c r="C545" s="62"/>
      <c r="D545" s="63"/>
    </row>
    <row r="546" spans="1:4" ht="12.75">
      <c r="A546" s="60"/>
      <c r="B546" s="61"/>
      <c r="C546" s="62"/>
      <c r="D546" s="63"/>
    </row>
    <row r="547" spans="1:4" ht="12.75">
      <c r="A547" s="60"/>
      <c r="B547" s="61"/>
      <c r="C547" s="62"/>
      <c r="D547" s="63"/>
    </row>
    <row r="548" spans="1:4" ht="12.75">
      <c r="A548" s="60"/>
      <c r="B548" s="61"/>
      <c r="C548" s="62"/>
      <c r="D548" s="63"/>
    </row>
    <row r="549" spans="1:4" ht="12.75">
      <c r="A549" s="60"/>
      <c r="B549" s="61"/>
      <c r="C549" s="62"/>
      <c r="D549" s="63"/>
    </row>
    <row r="550" spans="1:4" ht="12.75">
      <c r="A550" s="60"/>
      <c r="B550" s="61"/>
      <c r="C550" s="62"/>
      <c r="D550" s="63"/>
    </row>
    <row r="551" spans="1:4" ht="12.75">
      <c r="A551" s="60"/>
      <c r="B551" s="61"/>
      <c r="C551" s="62"/>
      <c r="D551" s="63"/>
    </row>
    <row r="552" spans="1:4" ht="12.75">
      <c r="A552" s="60"/>
      <c r="B552" s="61"/>
      <c r="C552" s="62"/>
      <c r="D552" s="63"/>
    </row>
    <row r="553" spans="1:4" ht="12.75">
      <c r="A553" s="60"/>
      <c r="B553" s="61"/>
      <c r="C553" s="62"/>
      <c r="D553" s="63"/>
    </row>
    <row r="554" spans="1:4" ht="12.75">
      <c r="A554" s="60"/>
      <c r="B554" s="61"/>
      <c r="C554" s="62"/>
      <c r="D554" s="63"/>
    </row>
    <row r="555" spans="1:4" ht="12.75">
      <c r="A555" s="60"/>
      <c r="B555" s="61"/>
      <c r="C555" s="62"/>
      <c r="D555" s="63"/>
    </row>
    <row r="556" spans="1:4" ht="12.75">
      <c r="A556" s="60"/>
      <c r="B556" s="61"/>
      <c r="C556" s="62"/>
      <c r="D556" s="63"/>
    </row>
    <row r="557" spans="1:4" ht="12.75">
      <c r="A557" s="60"/>
      <c r="B557" s="61"/>
      <c r="C557" s="62"/>
      <c r="D557" s="63"/>
    </row>
    <row r="558" spans="1:4" ht="12.75">
      <c r="A558" s="60"/>
      <c r="B558" s="61"/>
      <c r="C558" s="62"/>
      <c r="D558" s="63"/>
    </row>
    <row r="559" spans="1:4" ht="12.75">
      <c r="A559" s="60"/>
      <c r="B559" s="61"/>
      <c r="C559" s="62"/>
      <c r="D559" s="63"/>
    </row>
    <row r="560" spans="1:4" ht="12.75">
      <c r="A560" s="60"/>
      <c r="B560" s="61"/>
      <c r="C560" s="62"/>
      <c r="D560" s="63"/>
    </row>
    <row r="561" spans="1:4" ht="12.75">
      <c r="A561" s="60"/>
      <c r="B561" s="61"/>
      <c r="C561" s="62"/>
      <c r="D561" s="63"/>
    </row>
    <row r="562" spans="1:4" ht="12.75">
      <c r="A562" s="60"/>
      <c r="B562" s="61"/>
      <c r="C562" s="62"/>
      <c r="D562" s="63"/>
    </row>
    <row r="563" spans="1:4" ht="12.75">
      <c r="A563" s="60"/>
      <c r="B563" s="61"/>
      <c r="C563" s="62"/>
      <c r="D563" s="63"/>
    </row>
    <row r="564" spans="1:4" ht="12.75">
      <c r="A564" s="60"/>
      <c r="B564" s="61"/>
      <c r="C564" s="62"/>
      <c r="D564" s="63"/>
    </row>
    <row r="565" spans="1:4" ht="12.75">
      <c r="A565" s="60"/>
      <c r="B565" s="61"/>
      <c r="C565" s="62"/>
      <c r="D565" s="63"/>
    </row>
    <row r="566" spans="1:4" ht="12.75">
      <c r="A566" s="60"/>
      <c r="B566" s="61"/>
      <c r="C566" s="62"/>
      <c r="D566" s="63"/>
    </row>
    <row r="567" spans="1:4" ht="12.75">
      <c r="A567" s="60"/>
      <c r="B567" s="61"/>
      <c r="C567" s="62"/>
      <c r="D567" s="63"/>
    </row>
    <row r="568" spans="1:4" ht="12.75">
      <c r="A568" s="60"/>
      <c r="B568" s="61"/>
      <c r="C568" s="62"/>
      <c r="D568" s="63"/>
    </row>
    <row r="569" spans="1:4" ht="12.75">
      <c r="A569" s="60"/>
      <c r="B569" s="61"/>
      <c r="C569" s="62"/>
      <c r="D569" s="63"/>
    </row>
    <row r="570" spans="1:4" ht="12.75">
      <c r="A570" s="60"/>
      <c r="B570" s="61"/>
      <c r="C570" s="62"/>
      <c r="D570" s="63"/>
    </row>
    <row r="571" spans="1:4" ht="12.75">
      <c r="A571" s="60"/>
      <c r="B571" s="61"/>
      <c r="C571" s="62"/>
      <c r="D571" s="63"/>
    </row>
    <row r="572" spans="1:4" ht="12.75">
      <c r="A572" s="60"/>
      <c r="B572" s="61"/>
      <c r="C572" s="62"/>
      <c r="D572" s="63"/>
    </row>
    <row r="573" spans="1:4" ht="12.75">
      <c r="A573" s="60"/>
      <c r="B573" s="61"/>
      <c r="C573" s="62"/>
      <c r="D573" s="63"/>
    </row>
    <row r="574" spans="1:4" ht="12.75">
      <c r="A574" s="60"/>
      <c r="B574" s="61"/>
      <c r="C574" s="62"/>
      <c r="D574" s="63"/>
    </row>
    <row r="575" spans="1:4" ht="12.75">
      <c r="A575" s="60"/>
      <c r="B575" s="61"/>
      <c r="C575" s="62"/>
      <c r="D575" s="63"/>
    </row>
    <row r="576" spans="1:4" ht="12.75">
      <c r="A576" s="60"/>
      <c r="B576" s="61"/>
      <c r="C576" s="62"/>
      <c r="D576" s="63"/>
    </row>
    <row r="577" spans="1:4" ht="12.75">
      <c r="A577" s="60"/>
      <c r="B577" s="61"/>
      <c r="C577" s="62"/>
      <c r="D577" s="63"/>
    </row>
    <row r="578" spans="1:4" ht="12.75">
      <c r="A578" s="60"/>
      <c r="B578" s="61"/>
      <c r="C578" s="62"/>
      <c r="D578" s="63"/>
    </row>
    <row r="579" spans="1:4" ht="12.75">
      <c r="A579" s="60"/>
      <c r="B579" s="61"/>
      <c r="C579" s="62"/>
      <c r="D579" s="63"/>
    </row>
    <row r="580" spans="1:4" ht="12.75">
      <c r="A580" s="60"/>
      <c r="B580" s="61"/>
      <c r="C580" s="62"/>
      <c r="D580" s="63"/>
    </row>
    <row r="581" spans="1:4" ht="12.75">
      <c r="A581" s="60"/>
      <c r="B581" s="61"/>
      <c r="C581" s="62"/>
      <c r="D581" s="63"/>
    </row>
    <row r="582" spans="1:4" ht="12.75">
      <c r="A582" s="60"/>
      <c r="B582" s="61"/>
      <c r="C582" s="62"/>
      <c r="D582" s="63"/>
    </row>
    <row r="583" spans="1:4" ht="12.75">
      <c r="A583" s="60"/>
      <c r="B583" s="61"/>
      <c r="C583" s="62"/>
      <c r="D583" s="63"/>
    </row>
    <row r="584" spans="1:4" ht="12.75">
      <c r="A584" s="60"/>
      <c r="B584" s="61"/>
      <c r="C584" s="62"/>
      <c r="D584" s="63"/>
    </row>
    <row r="585" spans="1:4" ht="12.75">
      <c r="A585" s="60"/>
      <c r="B585" s="61"/>
      <c r="C585" s="62"/>
      <c r="D585" s="63"/>
    </row>
    <row r="586" spans="1:4" ht="12.75">
      <c r="A586" s="60"/>
      <c r="B586" s="61"/>
      <c r="C586" s="62"/>
      <c r="D586" s="63"/>
    </row>
    <row r="587" spans="1:4" ht="12.75">
      <c r="A587" s="60"/>
      <c r="B587" s="61"/>
      <c r="C587" s="62"/>
      <c r="D587" s="63"/>
    </row>
    <row r="588" spans="1:4" ht="12.75">
      <c r="A588" s="60"/>
      <c r="B588" s="61"/>
      <c r="C588" s="62"/>
      <c r="D588" s="63"/>
    </row>
    <row r="589" spans="1:4" ht="12.75">
      <c r="A589" s="60"/>
      <c r="B589" s="61"/>
      <c r="C589" s="62"/>
      <c r="D589" s="63"/>
    </row>
    <row r="590" spans="1:4" ht="12.75">
      <c r="A590" s="60"/>
      <c r="B590" s="61"/>
      <c r="C590" s="62"/>
      <c r="D590" s="63"/>
    </row>
    <row r="591" spans="1:4" ht="12.75">
      <c r="A591" s="60"/>
      <c r="B591" s="61"/>
      <c r="C591" s="62"/>
      <c r="D591" s="63"/>
    </row>
    <row r="592" spans="1:4" ht="12.75">
      <c r="A592" s="60"/>
      <c r="B592" s="61"/>
      <c r="C592" s="62"/>
      <c r="D592" s="63"/>
    </row>
    <row r="593" spans="1:4" ht="12.75">
      <c r="A593" s="60"/>
      <c r="B593" s="61"/>
      <c r="C593" s="62"/>
      <c r="D593" s="63"/>
    </row>
    <row r="594" spans="1:4" ht="12.75">
      <c r="A594" s="60"/>
      <c r="B594" s="61"/>
      <c r="C594" s="62"/>
      <c r="D594" s="63"/>
    </row>
    <row r="595" spans="1:4" ht="12.75">
      <c r="A595" s="60"/>
      <c r="B595" s="61"/>
      <c r="C595" s="62"/>
      <c r="D595" s="63"/>
    </row>
    <row r="596" spans="1:4" ht="12.75">
      <c r="A596" s="60"/>
      <c r="B596" s="61"/>
      <c r="C596" s="62"/>
      <c r="D596" s="63"/>
    </row>
    <row r="597" spans="1:4" ht="12.75">
      <c r="A597" s="60"/>
      <c r="B597" s="61"/>
      <c r="C597" s="62"/>
      <c r="D597" s="63"/>
    </row>
    <row r="598" spans="1:4" ht="12.75">
      <c r="A598" s="60"/>
      <c r="B598" s="61"/>
      <c r="C598" s="62"/>
      <c r="D598" s="63"/>
    </row>
    <row r="599" spans="1:4" ht="12.75">
      <c r="A599" s="60"/>
      <c r="B599" s="61"/>
      <c r="C599" s="62"/>
      <c r="D599" s="63"/>
    </row>
    <row r="600" spans="1:4" ht="12.75">
      <c r="A600" s="60"/>
      <c r="B600" s="61"/>
      <c r="C600" s="62"/>
      <c r="D600" s="63"/>
    </row>
    <row r="601" spans="1:4" ht="12.75">
      <c r="A601" s="60"/>
      <c r="B601" s="61"/>
      <c r="C601" s="62"/>
      <c r="D601" s="63"/>
    </row>
    <row r="602" spans="1:4" ht="12.75">
      <c r="A602" s="60"/>
      <c r="B602" s="61"/>
      <c r="C602" s="62"/>
      <c r="D602" s="63"/>
    </row>
    <row r="603" spans="1:4" ht="12.75">
      <c r="A603" s="60"/>
      <c r="B603" s="61"/>
      <c r="C603" s="62"/>
      <c r="D603" s="63"/>
    </row>
    <row r="604" spans="1:4" ht="12.75">
      <c r="A604" s="60"/>
      <c r="B604" s="61"/>
      <c r="C604" s="62"/>
      <c r="D604" s="63"/>
    </row>
    <row r="605" spans="1:4" ht="12.75">
      <c r="A605" s="60"/>
      <c r="B605" s="61"/>
      <c r="C605" s="62"/>
      <c r="D605" s="63"/>
    </row>
    <row r="606" spans="1:4" ht="12.75">
      <c r="A606" s="60"/>
      <c r="B606" s="61"/>
      <c r="C606" s="62"/>
      <c r="D606" s="63"/>
    </row>
    <row r="607" spans="1:4" ht="12.75">
      <c r="A607" s="60"/>
      <c r="B607" s="61"/>
      <c r="C607" s="62"/>
      <c r="D607" s="63"/>
    </row>
    <row r="608" spans="1:4" ht="12.75">
      <c r="A608" s="60"/>
      <c r="B608" s="61"/>
      <c r="C608" s="62"/>
      <c r="D608" s="63"/>
    </row>
    <row r="609" spans="1:4" ht="12.75">
      <c r="A609" s="60"/>
      <c r="B609" s="61"/>
      <c r="C609" s="62"/>
      <c r="D609" s="63"/>
    </row>
    <row r="610" spans="1:4" ht="12.75">
      <c r="A610" s="60"/>
      <c r="B610" s="61"/>
      <c r="C610" s="62"/>
      <c r="D610" s="63"/>
    </row>
    <row r="611" spans="1:4" ht="12.75">
      <c r="A611" s="60"/>
      <c r="B611" s="61"/>
      <c r="C611" s="62"/>
      <c r="D611" s="63"/>
    </row>
    <row r="612" spans="1:4" ht="12.75">
      <c r="A612" s="60"/>
      <c r="B612" s="61"/>
      <c r="C612" s="62"/>
      <c r="D612" s="63"/>
    </row>
    <row r="613" spans="1:4" ht="12.75">
      <c r="A613" s="60"/>
      <c r="B613" s="61"/>
      <c r="C613" s="62"/>
      <c r="D613" s="63"/>
    </row>
    <row r="614" spans="1:4" ht="12.75">
      <c r="A614" s="60"/>
      <c r="B614" s="61"/>
      <c r="C614" s="62"/>
      <c r="D614" s="63"/>
    </row>
    <row r="615" spans="1:4" ht="12.75">
      <c r="A615" s="60"/>
      <c r="B615" s="61"/>
      <c r="C615" s="62"/>
      <c r="D615" s="63"/>
    </row>
    <row r="616" spans="1:4" ht="12.75">
      <c r="A616" s="60"/>
      <c r="B616" s="61"/>
      <c r="C616" s="62"/>
      <c r="D616" s="63"/>
    </row>
    <row r="617" spans="1:4" ht="12.75">
      <c r="A617" s="60"/>
      <c r="B617" s="61"/>
      <c r="C617" s="62"/>
      <c r="D617" s="63"/>
    </row>
    <row r="618" spans="1:4" ht="12.75">
      <c r="A618" s="60"/>
      <c r="B618" s="61"/>
      <c r="C618" s="62"/>
      <c r="D618" s="63"/>
    </row>
    <row r="619" spans="1:4" ht="12.75">
      <c r="A619" s="60"/>
      <c r="B619" s="61"/>
      <c r="C619" s="62"/>
      <c r="D619" s="63"/>
    </row>
    <row r="620" spans="1:4" ht="12.75">
      <c r="A620" s="60"/>
      <c r="B620" s="61"/>
      <c r="C620" s="62"/>
      <c r="D620" s="63"/>
    </row>
    <row r="621" spans="1:4" ht="12.75">
      <c r="A621" s="60"/>
      <c r="B621" s="61"/>
      <c r="C621" s="62"/>
      <c r="D621" s="63"/>
    </row>
    <row r="622" spans="1:4" ht="12.75">
      <c r="A622" s="60"/>
      <c r="B622" s="61"/>
      <c r="C622" s="62"/>
      <c r="D622" s="63"/>
    </row>
    <row r="623" spans="1:4" ht="12.75">
      <c r="A623" s="60"/>
      <c r="B623" s="61"/>
      <c r="C623" s="62"/>
      <c r="D623" s="63"/>
    </row>
    <row r="624" spans="1:4" ht="12.75">
      <c r="A624" s="60"/>
      <c r="B624" s="61"/>
      <c r="C624" s="62"/>
      <c r="D624" s="63"/>
    </row>
    <row r="625" spans="1:4" ht="12.75">
      <c r="A625" s="60"/>
      <c r="B625" s="61"/>
      <c r="C625" s="62"/>
      <c r="D625" s="63"/>
    </row>
    <row r="626" spans="1:4" ht="12.75">
      <c r="A626" s="60"/>
      <c r="B626" s="61"/>
      <c r="C626" s="62"/>
      <c r="D626" s="63"/>
    </row>
    <row r="627" spans="1:4" ht="12.75">
      <c r="A627" s="60"/>
      <c r="B627" s="61"/>
      <c r="C627" s="62"/>
      <c r="D627" s="63"/>
    </row>
    <row r="628" spans="1:4" ht="12.75">
      <c r="A628" s="60"/>
      <c r="B628" s="61"/>
      <c r="C628" s="62"/>
      <c r="D628" s="63"/>
    </row>
    <row r="629" spans="1:4" ht="12.75">
      <c r="A629" s="60"/>
      <c r="B629" s="61"/>
      <c r="C629" s="62"/>
      <c r="D629" s="63"/>
    </row>
    <row r="630" spans="1:4" ht="12.75">
      <c r="A630" s="60"/>
      <c r="B630" s="61"/>
      <c r="C630" s="62"/>
      <c r="D630" s="63"/>
    </row>
    <row r="631" spans="1:4" ht="12.75">
      <c r="A631" s="60"/>
      <c r="B631" s="61"/>
      <c r="C631" s="62"/>
      <c r="D631" s="63"/>
    </row>
    <row r="632" spans="1:4" ht="12.75">
      <c r="A632" s="60"/>
      <c r="B632" s="61"/>
      <c r="C632" s="62"/>
      <c r="D632" s="63"/>
    </row>
    <row r="633" spans="1:4" ht="12.75">
      <c r="A633" s="60"/>
      <c r="B633" s="61"/>
      <c r="C633" s="62"/>
      <c r="D633" s="63"/>
    </row>
    <row r="634" spans="1:4" ht="12.75">
      <c r="A634" s="60"/>
      <c r="B634" s="61"/>
      <c r="C634" s="62"/>
      <c r="D634" s="63"/>
    </row>
    <row r="635" spans="1:4" ht="12.75">
      <c r="A635" s="60"/>
      <c r="B635" s="61"/>
      <c r="C635" s="62"/>
      <c r="D635" s="63"/>
    </row>
    <row r="636" spans="1:4" ht="12.75">
      <c r="A636" s="60"/>
      <c r="B636" s="61"/>
      <c r="C636" s="62"/>
      <c r="D636" s="63"/>
    </row>
    <row r="637" spans="1:4" ht="12.75">
      <c r="A637" s="60"/>
      <c r="B637" s="61"/>
      <c r="C637" s="62"/>
      <c r="D637" s="63"/>
    </row>
    <row r="638" spans="1:4" ht="12.75">
      <c r="A638" s="60"/>
      <c r="B638" s="61"/>
      <c r="C638" s="62"/>
      <c r="D638" s="63"/>
    </row>
    <row r="639" spans="1:4" ht="12.75">
      <c r="A639" s="60"/>
      <c r="B639" s="61"/>
      <c r="C639" s="62"/>
      <c r="D639" s="63"/>
    </row>
    <row r="640" spans="1:4" ht="12.75">
      <c r="A640" s="60"/>
      <c r="B640" s="61"/>
      <c r="C640" s="62"/>
      <c r="D640" s="63"/>
    </row>
    <row r="641" spans="1:4" ht="12.75">
      <c r="A641" s="60"/>
      <c r="B641" s="61"/>
      <c r="C641" s="62"/>
      <c r="D641" s="63"/>
    </row>
    <row r="642" spans="1:4" ht="12.75">
      <c r="A642" s="60"/>
      <c r="B642" s="61"/>
      <c r="C642" s="62"/>
      <c r="D642" s="63"/>
    </row>
    <row r="643" spans="1:4" ht="12.75">
      <c r="A643" s="60"/>
      <c r="B643" s="61"/>
      <c r="C643" s="62"/>
      <c r="D643" s="63"/>
    </row>
    <row r="644" spans="1:4" ht="12.75">
      <c r="A644" s="60"/>
      <c r="B644" s="61"/>
      <c r="C644" s="62"/>
      <c r="D644" s="63"/>
    </row>
    <row r="645" spans="1:4" ht="12.75">
      <c r="A645" s="60"/>
      <c r="B645" s="61"/>
      <c r="C645" s="62"/>
      <c r="D645" s="63"/>
    </row>
    <row r="646" spans="1:4" ht="12.75">
      <c r="A646" s="60"/>
      <c r="B646" s="61"/>
      <c r="C646" s="62"/>
      <c r="D646" s="63"/>
    </row>
    <row r="647" spans="1:4" ht="12.75">
      <c r="A647" s="60"/>
      <c r="B647" s="61"/>
      <c r="C647" s="62"/>
      <c r="D647" s="63"/>
    </row>
    <row r="648" spans="1:4" ht="12.75">
      <c r="A648" s="60"/>
      <c r="B648" s="61"/>
      <c r="C648" s="62"/>
      <c r="D648" s="63"/>
    </row>
    <row r="649" spans="1:4" ht="12.75">
      <c r="A649" s="60"/>
      <c r="B649" s="61"/>
      <c r="C649" s="62"/>
      <c r="D649" s="63"/>
    </row>
    <row r="650" spans="1:4" ht="12.75">
      <c r="A650" s="60"/>
      <c r="B650" s="61"/>
      <c r="C650" s="62"/>
      <c r="D650" s="63"/>
    </row>
    <row r="651" spans="1:4" ht="12.75">
      <c r="A651" s="60"/>
      <c r="B651" s="61"/>
      <c r="C651" s="62"/>
      <c r="D651" s="63"/>
    </row>
    <row r="652" spans="1:4" ht="12.75">
      <c r="A652" s="60"/>
      <c r="B652" s="61"/>
      <c r="C652" s="62"/>
      <c r="D652" s="63"/>
    </row>
    <row r="653" spans="1:4" ht="12.75">
      <c r="A653" s="60"/>
      <c r="B653" s="61"/>
      <c r="C653" s="62"/>
      <c r="D653" s="63"/>
    </row>
    <row r="654" spans="1:4" ht="12.75">
      <c r="A654" s="60"/>
      <c r="B654" s="61"/>
      <c r="C654" s="62"/>
      <c r="D654" s="63"/>
    </row>
    <row r="655" spans="1:4" ht="12.75">
      <c r="A655" s="60"/>
      <c r="B655" s="61"/>
      <c r="C655" s="62"/>
      <c r="D655" s="63"/>
    </row>
    <row r="656" spans="1:4" ht="12.75">
      <c r="A656" s="60"/>
      <c r="B656" s="61"/>
      <c r="C656" s="62"/>
      <c r="D656" s="63"/>
    </row>
    <row r="657" spans="1:4" ht="12.75">
      <c r="A657" s="60"/>
      <c r="B657" s="61"/>
      <c r="C657" s="62"/>
      <c r="D657" s="63"/>
    </row>
    <row r="658" spans="1:4" ht="12.75">
      <c r="A658" s="60"/>
      <c r="B658" s="61"/>
      <c r="C658" s="62"/>
      <c r="D658" s="63"/>
    </row>
    <row r="659" spans="1:4" ht="12.75">
      <c r="A659" s="60"/>
      <c r="B659" s="61"/>
      <c r="C659" s="62"/>
      <c r="D659" s="63"/>
    </row>
    <row r="660" spans="1:4" ht="12.75">
      <c r="A660" s="60"/>
      <c r="B660" s="61"/>
      <c r="C660" s="62"/>
      <c r="D660" s="63"/>
    </row>
    <row r="661" spans="1:4" ht="12.75">
      <c r="A661" s="60"/>
      <c r="B661" s="61"/>
      <c r="C661" s="62"/>
      <c r="D661" s="63"/>
    </row>
    <row r="662" spans="1:4" ht="12.75">
      <c r="A662" s="60"/>
      <c r="B662" s="61"/>
      <c r="C662" s="62"/>
      <c r="D662" s="63"/>
    </row>
    <row r="663" spans="1:4" ht="12.75">
      <c r="A663" s="60"/>
      <c r="B663" s="61"/>
      <c r="C663" s="62"/>
      <c r="D663" s="63"/>
    </row>
    <row r="664" spans="1:4" ht="12.75">
      <c r="A664" s="60"/>
      <c r="B664" s="61"/>
      <c r="C664" s="62"/>
      <c r="D664" s="63"/>
    </row>
    <row r="665" spans="1:4" ht="12.75">
      <c r="A665" s="60"/>
      <c r="B665" s="61"/>
      <c r="C665" s="62"/>
      <c r="D665" s="63"/>
    </row>
    <row r="666" spans="1:4" ht="12.75">
      <c r="A666" s="60"/>
      <c r="B666" s="61"/>
      <c r="C666" s="62"/>
      <c r="D666" s="63"/>
    </row>
    <row r="667" spans="1:4" ht="12.75">
      <c r="A667" s="60"/>
      <c r="B667" s="61"/>
      <c r="C667" s="62"/>
      <c r="D667" s="63"/>
    </row>
    <row r="668" spans="1:4" ht="12.75">
      <c r="A668" s="60"/>
      <c r="B668" s="61"/>
      <c r="C668" s="62"/>
      <c r="D668" s="63"/>
    </row>
    <row r="669" spans="1:4" ht="12.75">
      <c r="A669" s="60"/>
      <c r="B669" s="61"/>
      <c r="C669" s="62"/>
      <c r="D669" s="63"/>
    </row>
    <row r="670" spans="1:4" ht="12.75">
      <c r="A670" s="60"/>
      <c r="B670" s="61"/>
      <c r="C670" s="62"/>
      <c r="D670" s="63"/>
    </row>
    <row r="671" spans="1:4" ht="12.75">
      <c r="A671" s="60"/>
      <c r="B671" s="61"/>
      <c r="C671" s="62"/>
      <c r="D671" s="63"/>
    </row>
    <row r="672" spans="1:4" ht="12.75">
      <c r="A672" s="60"/>
      <c r="B672" s="61"/>
      <c r="C672" s="62"/>
      <c r="D672" s="63"/>
    </row>
    <row r="673" spans="1:4" ht="12.75">
      <c r="A673" s="60"/>
      <c r="B673" s="61"/>
      <c r="C673" s="62"/>
      <c r="D673" s="63"/>
    </row>
    <row r="674" spans="1:4" ht="12.75">
      <c r="A674" s="60"/>
      <c r="B674" s="61"/>
      <c r="C674" s="62"/>
      <c r="D674" s="63"/>
    </row>
    <row r="675" spans="1:4" ht="12.75">
      <c r="A675" s="60"/>
      <c r="B675" s="61"/>
      <c r="C675" s="62"/>
      <c r="D675" s="63"/>
    </row>
    <row r="676" spans="1:4" ht="12.75">
      <c r="A676" s="60"/>
      <c r="B676" s="61"/>
      <c r="C676" s="62"/>
      <c r="D676" s="63"/>
    </row>
    <row r="677" spans="1:4" ht="12.75">
      <c r="A677" s="60"/>
      <c r="B677" s="61"/>
      <c r="C677" s="62"/>
      <c r="D677" s="63"/>
    </row>
    <row r="678" spans="1:4" ht="12.75">
      <c r="A678" s="60"/>
      <c r="B678" s="61"/>
      <c r="C678" s="62"/>
      <c r="D678" s="63"/>
    </row>
    <row r="679" spans="1:4" ht="12.75">
      <c r="A679" s="60"/>
      <c r="B679" s="61"/>
      <c r="C679" s="62"/>
      <c r="D679" s="63"/>
    </row>
  </sheetData>
  <mergeCells count="7">
    <mergeCell ref="S8:X8"/>
    <mergeCell ref="F8:Q8"/>
    <mergeCell ref="M9:Q9"/>
    <mergeCell ref="F10:G10"/>
    <mergeCell ref="F9:L9"/>
    <mergeCell ref="M10:N10"/>
    <mergeCell ref="S9:X9"/>
  </mergeCells>
  <hyperlinks>
    <hyperlink ref="L92" r:id="rId1" display="http://www.blinds-supermarket.co.uk/ourProducts/product_details.aspx?product_id=1530&amp;width=200&amp;drop=174"/>
    <hyperlink ref="L375" r:id="rId2" display="http://www.bhl.co.uk/product/BAXI_ECOGEN_2410_MICRO_CHP_HEAT_AND_POWER_GAS_BOILER"/>
  </hyperlinks>
  <printOptions/>
  <pageMargins left="0.65" right="0.51" top="1" bottom="1" header="0.5" footer="0.5"/>
  <pageSetup fitToHeight="0" fitToWidth="1" horizontalDpi="300" verticalDpi="300" orientation="portrait" paperSize="9" scale="21" r:id="rId5"/>
  <headerFooter alignWithMargins="0">
    <oddFooter>&amp;L
&amp;"Arial,Italic"Bare, Leaning and Bare
Chartered Quantity Surveyors&amp;RPage &amp;P of &amp;N</oddFooter>
  </headerFooter>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Z855"/>
  <sheetViews>
    <sheetView view="pageBreakPreview" zoomScale="90" zoomScaleNormal="75" zoomScaleSheetLayoutView="90" workbookViewId="0" topLeftCell="A4">
      <pane xSplit="5" ySplit="7" topLeftCell="F231" activePane="bottomRight" state="frozen"/>
      <selection pane="topLeft" activeCell="A4" sqref="A4"/>
      <selection pane="topRight" activeCell="F4" sqref="F4"/>
      <selection pane="bottomLeft" activeCell="A9" sqref="A9"/>
      <selection pane="bottomRight" activeCell="E246" sqref="E246"/>
    </sheetView>
  </sheetViews>
  <sheetFormatPr defaultColWidth="9.140625" defaultRowHeight="12.75" outlineLevelRow="1" outlineLevelCol="1"/>
  <cols>
    <col min="1" max="1" width="5.28125" style="67" customWidth="1" outlineLevel="1"/>
    <col min="2" max="2" width="5.7109375" style="67" customWidth="1" outlineLevel="1"/>
    <col min="3" max="3" width="6.140625" style="7" customWidth="1" outlineLevel="1"/>
    <col min="4" max="4" width="6.57421875" style="68" customWidth="1" outlineLevel="1"/>
    <col min="5" max="5" width="40.57421875" style="8" customWidth="1"/>
    <col min="6" max="6" width="6.140625" style="5" customWidth="1"/>
    <col min="7" max="7" width="4.7109375" style="6" customWidth="1"/>
    <col min="8" max="8" width="7.140625" style="6" customWidth="1" outlineLevel="1"/>
    <col min="9" max="9" width="8.57421875" style="6" customWidth="1" outlineLevel="1"/>
    <col min="10" max="10" width="9.8515625" style="7" customWidth="1"/>
    <col min="11" max="11" width="10.57421875" style="7" customWidth="1"/>
    <col min="12" max="12" width="29.00390625" style="91" customWidth="1"/>
    <col min="13" max="13" width="6.140625" style="5" customWidth="1"/>
    <col min="14" max="14" width="4.7109375" style="6" customWidth="1"/>
    <col min="15" max="15" width="9.8515625" style="7" customWidth="1"/>
    <col min="16" max="16" width="10.57421875" style="7" customWidth="1"/>
    <col min="17" max="17" width="29.00390625" style="7" customWidth="1"/>
    <col min="18" max="18" width="0.9921875" style="6" customWidth="1"/>
    <col min="19" max="19" width="35.421875" style="6" customWidth="1"/>
    <col min="20" max="21" width="9.421875" style="6" customWidth="1"/>
    <col min="22" max="22" width="7.421875" style="6" customWidth="1"/>
    <col min="23" max="23" width="11.8515625" style="7" customWidth="1"/>
    <col min="24" max="24" width="27.421875" style="6" customWidth="1"/>
    <col min="25" max="16384" width="9.140625" style="6" customWidth="1"/>
  </cols>
  <sheetData>
    <row r="1" spans="1:5" ht="12.75">
      <c r="A1" s="1"/>
      <c r="B1" s="2"/>
      <c r="C1" s="2"/>
      <c r="D1" s="3"/>
      <c r="E1" s="4" t="s">
        <v>5</v>
      </c>
    </row>
    <row r="2" spans="1:4" ht="12.75">
      <c r="A2" s="1"/>
      <c r="B2" s="2"/>
      <c r="C2" s="2"/>
      <c r="D2" s="3"/>
    </row>
    <row r="3" spans="1:17" ht="12.75">
      <c r="A3" s="1"/>
      <c r="B3" s="2"/>
      <c r="C3" s="2"/>
      <c r="D3" s="3"/>
      <c r="E3" s="9" t="s">
        <v>3</v>
      </c>
      <c r="K3" s="25"/>
      <c r="L3" s="92"/>
      <c r="P3" s="25"/>
      <c r="Q3" s="25"/>
    </row>
    <row r="4" spans="1:17" ht="18.75">
      <c r="A4" s="1"/>
      <c r="B4" s="2"/>
      <c r="C4" s="2"/>
      <c r="D4" s="3"/>
      <c r="E4" s="134" t="s">
        <v>303</v>
      </c>
      <c r="K4" s="25"/>
      <c r="L4" s="92"/>
      <c r="P4" s="25"/>
      <c r="Q4" s="25"/>
    </row>
    <row r="5" spans="1:17" ht="12.75">
      <c r="A5" s="1"/>
      <c r="B5" s="2"/>
      <c r="C5" s="2"/>
      <c r="D5" s="3"/>
      <c r="E5" s="9"/>
      <c r="K5" s="25"/>
      <c r="L5" s="92"/>
      <c r="P5" s="25"/>
      <c r="Q5" s="25"/>
    </row>
    <row r="6" spans="1:17" ht="37.5">
      <c r="A6" s="1"/>
      <c r="B6" s="2"/>
      <c r="C6" s="2"/>
      <c r="D6" s="3"/>
      <c r="E6" s="125" t="s">
        <v>357</v>
      </c>
      <c r="K6" s="10"/>
      <c r="L6" s="93"/>
      <c r="P6" s="10"/>
      <c r="Q6" s="10"/>
    </row>
    <row r="7" spans="1:17" ht="12.75">
      <c r="A7" s="1"/>
      <c r="B7" s="2"/>
      <c r="C7" s="2"/>
      <c r="D7" s="3"/>
      <c r="E7" s="6"/>
      <c r="K7" s="10"/>
      <c r="L7" s="93"/>
      <c r="P7" s="10"/>
      <c r="Q7" s="10"/>
    </row>
    <row r="8" spans="1:24" ht="24.75" customHeight="1">
      <c r="A8" s="1"/>
      <c r="B8" s="2"/>
      <c r="C8" s="2"/>
      <c r="D8" s="3"/>
      <c r="E8" s="9"/>
      <c r="F8" s="174" t="s">
        <v>170</v>
      </c>
      <c r="G8" s="175"/>
      <c r="H8" s="175"/>
      <c r="I8" s="175"/>
      <c r="J8" s="175"/>
      <c r="K8" s="175"/>
      <c r="L8" s="175"/>
      <c r="M8" s="175"/>
      <c r="N8" s="175"/>
      <c r="O8" s="175"/>
      <c r="P8" s="175"/>
      <c r="Q8" s="176"/>
      <c r="S8" s="171" t="s">
        <v>252</v>
      </c>
      <c r="T8" s="172"/>
      <c r="U8" s="172"/>
      <c r="V8" s="172"/>
      <c r="W8" s="172"/>
      <c r="X8" s="173"/>
    </row>
    <row r="9" spans="1:24" ht="28.5" customHeight="1">
      <c r="A9" s="1"/>
      <c r="B9" s="2"/>
      <c r="C9" s="2"/>
      <c r="D9" s="3"/>
      <c r="E9" s="9"/>
      <c r="F9" s="182" t="s">
        <v>11</v>
      </c>
      <c r="G9" s="183"/>
      <c r="H9" s="183"/>
      <c r="I9" s="183"/>
      <c r="J9" s="183"/>
      <c r="K9" s="183"/>
      <c r="L9" s="184"/>
      <c r="M9" s="177" t="s">
        <v>12</v>
      </c>
      <c r="N9" s="178"/>
      <c r="O9" s="178"/>
      <c r="P9" s="178"/>
      <c r="Q9" s="179"/>
      <c r="S9" s="187" t="s">
        <v>11</v>
      </c>
      <c r="T9" s="188"/>
      <c r="U9" s="188"/>
      <c r="V9" s="188"/>
      <c r="W9" s="188"/>
      <c r="X9" s="189"/>
    </row>
    <row r="10" spans="1:26" ht="51" customHeight="1">
      <c r="A10" s="56"/>
      <c r="B10" s="57"/>
      <c r="C10" s="58"/>
      <c r="D10" s="59"/>
      <c r="E10" s="88" t="s">
        <v>1</v>
      </c>
      <c r="F10" s="180" t="s">
        <v>0</v>
      </c>
      <c r="G10" s="181"/>
      <c r="H10" s="26" t="s">
        <v>13</v>
      </c>
      <c r="I10" s="26" t="s">
        <v>14</v>
      </c>
      <c r="J10" s="22" t="s">
        <v>9</v>
      </c>
      <c r="K10" s="11" t="s">
        <v>2</v>
      </c>
      <c r="L10" s="28" t="s">
        <v>10</v>
      </c>
      <c r="M10" s="185" t="s">
        <v>0</v>
      </c>
      <c r="N10" s="186"/>
      <c r="O10" s="29" t="s">
        <v>9</v>
      </c>
      <c r="P10" s="28" t="s">
        <v>2</v>
      </c>
      <c r="Q10" s="28" t="s">
        <v>10</v>
      </c>
      <c r="R10" s="12"/>
      <c r="S10" s="104" t="s">
        <v>1</v>
      </c>
      <c r="T10" s="105" t="s">
        <v>253</v>
      </c>
      <c r="U10" s="105" t="s">
        <v>254</v>
      </c>
      <c r="V10" s="105" t="s">
        <v>256</v>
      </c>
      <c r="W10" s="22" t="s">
        <v>255</v>
      </c>
      <c r="X10" s="106" t="s">
        <v>10</v>
      </c>
      <c r="Y10" s="12"/>
      <c r="Z10" s="12"/>
    </row>
    <row r="11" spans="1:24" ht="12.75">
      <c r="A11" s="60"/>
      <c r="B11" s="61"/>
      <c r="C11" s="62"/>
      <c r="D11" s="63"/>
      <c r="E11" s="13"/>
      <c r="F11" s="14"/>
      <c r="G11" s="24"/>
      <c r="H11" s="27"/>
      <c r="I11" s="27"/>
      <c r="J11" s="19"/>
      <c r="K11" s="15"/>
      <c r="L11" s="94"/>
      <c r="M11" s="14"/>
      <c r="N11" s="24"/>
      <c r="O11" s="19"/>
      <c r="P11" s="15"/>
      <c r="Q11" s="30"/>
      <c r="S11" s="107"/>
      <c r="T11" s="108"/>
      <c r="U11" s="108"/>
      <c r="V11" s="108"/>
      <c r="W11" s="109"/>
      <c r="X11" s="24"/>
    </row>
    <row r="12" spans="1:24" ht="12.75">
      <c r="A12" s="60"/>
      <c r="B12" s="61"/>
      <c r="C12" s="64"/>
      <c r="D12" s="63"/>
      <c r="E12" s="38"/>
      <c r="F12" s="33"/>
      <c r="G12" s="34"/>
      <c r="H12" s="39"/>
      <c r="I12" s="39"/>
      <c r="J12" s="36">
        <f>IF(+I12+H12&gt;0,I12+(H12*labour),"")</f>
      </c>
      <c r="K12" s="37">
        <f>+IF(F12="item",J12,IF(F12&lt;&gt;0,F12*J12,""))</f>
      </c>
      <c r="L12" s="31"/>
      <c r="M12" s="33"/>
      <c r="N12" s="34"/>
      <c r="O12" s="36"/>
      <c r="P12" s="37">
        <f>+IF(M12="item",O12,IF(M12&lt;&gt;0,M12*O12,""))</f>
      </c>
      <c r="Q12" s="54"/>
      <c r="S12" s="110"/>
      <c r="T12" s="12"/>
      <c r="U12" s="12"/>
      <c r="V12" s="12"/>
      <c r="W12" s="19"/>
      <c r="X12" s="111"/>
    </row>
    <row r="13" spans="1:24" ht="15.75">
      <c r="A13" s="60"/>
      <c r="B13" s="61"/>
      <c r="C13" s="86"/>
      <c r="D13" s="87"/>
      <c r="E13" s="78" t="s">
        <v>83</v>
      </c>
      <c r="F13" s="79"/>
      <c r="G13" s="80"/>
      <c r="H13" s="81"/>
      <c r="I13" s="81"/>
      <c r="J13" s="82"/>
      <c r="K13" s="83"/>
      <c r="L13" s="84"/>
      <c r="M13" s="79"/>
      <c r="N13" s="80"/>
      <c r="O13" s="82"/>
      <c r="P13" s="83"/>
      <c r="Q13" s="85"/>
      <c r="S13" s="110"/>
      <c r="T13" s="12"/>
      <c r="U13" s="12"/>
      <c r="V13" s="12"/>
      <c r="W13" s="19"/>
      <c r="X13" s="111"/>
    </row>
    <row r="14" spans="1:24" ht="12.75">
      <c r="A14" s="60"/>
      <c r="B14" s="61"/>
      <c r="C14" s="64"/>
      <c r="D14" s="63"/>
      <c r="E14" s="38"/>
      <c r="F14" s="33"/>
      <c r="G14" s="34"/>
      <c r="H14" s="39"/>
      <c r="I14" s="39"/>
      <c r="J14" s="36"/>
      <c r="K14" s="37"/>
      <c r="L14" s="31"/>
      <c r="M14" s="33"/>
      <c r="N14" s="34"/>
      <c r="O14" s="36"/>
      <c r="P14" s="37"/>
      <c r="Q14" s="54"/>
      <c r="S14" s="110"/>
      <c r="T14" s="12"/>
      <c r="U14" s="12"/>
      <c r="V14" s="12"/>
      <c r="W14" s="19"/>
      <c r="X14" s="111"/>
    </row>
    <row r="15" spans="1:24" ht="12.75">
      <c r="A15" s="60"/>
      <c r="B15" s="61"/>
      <c r="C15" s="64"/>
      <c r="D15" s="63"/>
      <c r="E15" s="38"/>
      <c r="F15" s="33"/>
      <c r="G15" s="34"/>
      <c r="H15" s="39"/>
      <c r="I15" s="39"/>
      <c r="J15" s="36"/>
      <c r="K15" s="37"/>
      <c r="L15" s="31"/>
      <c r="M15" s="33"/>
      <c r="N15" s="34"/>
      <c r="O15" s="36"/>
      <c r="P15" s="37"/>
      <c r="Q15" s="54"/>
      <c r="S15" s="110"/>
      <c r="T15" s="12"/>
      <c r="U15" s="12"/>
      <c r="V15" s="12"/>
      <c r="W15" s="19"/>
      <c r="X15" s="111"/>
    </row>
    <row r="16" spans="1:24" ht="25.5" customHeight="1">
      <c r="A16" s="60"/>
      <c r="B16" s="61"/>
      <c r="C16" s="64"/>
      <c r="D16" s="63"/>
      <c r="E16" s="32" t="s">
        <v>84</v>
      </c>
      <c r="F16" s="33"/>
      <c r="G16" s="34"/>
      <c r="H16" s="39"/>
      <c r="I16" s="39"/>
      <c r="J16" s="36"/>
      <c r="K16" s="53">
        <f>SUM(K18:K37)</f>
        <v>1369.01248</v>
      </c>
      <c r="L16" s="31"/>
      <c r="M16" s="33"/>
      <c r="N16" s="34"/>
      <c r="O16" s="36"/>
      <c r="P16" s="53">
        <f>SUM(P18:P37)</f>
        <v>606.5568000000001</v>
      </c>
      <c r="Q16" s="54"/>
      <c r="S16" s="110"/>
      <c r="T16" s="12"/>
      <c r="U16" s="12"/>
      <c r="V16" s="12"/>
      <c r="W16" s="112">
        <f>SUM(W18:W37)</f>
        <v>16.4</v>
      </c>
      <c r="X16" s="111"/>
    </row>
    <row r="17" spans="1:24" ht="12.75" hidden="1" outlineLevel="1">
      <c r="A17" s="60"/>
      <c r="B17" s="61"/>
      <c r="C17" s="64"/>
      <c r="D17" s="63"/>
      <c r="E17" s="38"/>
      <c r="F17" s="33"/>
      <c r="G17" s="34"/>
      <c r="H17" s="39"/>
      <c r="I17" s="39"/>
      <c r="J17" s="36">
        <f aca="true" t="shared" si="0" ref="J17:J35">IF(+I17+H17&gt;0,I17+(H17*labour),"")</f>
      </c>
      <c r="K17" s="37"/>
      <c r="L17" s="31"/>
      <c r="M17" s="33"/>
      <c r="N17" s="34"/>
      <c r="O17" s="36"/>
      <c r="P17" s="37">
        <f>+IF(M17="item",O17,IF(M17&lt;&gt;0,M17*O17,""))</f>
      </c>
      <c r="Q17" s="54"/>
      <c r="S17" s="113" t="s">
        <v>257</v>
      </c>
      <c r="T17" s="12"/>
      <c r="U17" s="12"/>
      <c r="V17" s="12"/>
      <c r="W17" s="19"/>
      <c r="X17" s="111"/>
    </row>
    <row r="18" spans="1:24" ht="12.75" hidden="1" outlineLevel="1">
      <c r="A18" s="60"/>
      <c r="B18" s="61"/>
      <c r="C18" s="64"/>
      <c r="D18" s="63"/>
      <c r="E18" s="38" t="s">
        <v>38</v>
      </c>
      <c r="F18" s="33">
        <f>ROUND(D26,0)</f>
        <v>70</v>
      </c>
      <c r="G18" s="34" t="s">
        <v>35</v>
      </c>
      <c r="H18" s="39">
        <v>0.13</v>
      </c>
      <c r="I18" s="39">
        <f>space</f>
        <v>5.6784</v>
      </c>
      <c r="J18" s="36">
        <f t="shared" si="0"/>
        <v>9.5784</v>
      </c>
      <c r="K18" s="37">
        <f aca="true" t="shared" si="1" ref="K18:K37">+IF(F18="item",J18,IF(F18&lt;&gt;0,F18*J18,""))</f>
        <v>670.488</v>
      </c>
      <c r="L18" s="31" t="s">
        <v>39</v>
      </c>
      <c r="M18" s="33">
        <f>+F18</f>
        <v>70</v>
      </c>
      <c r="N18" s="34" t="s">
        <v>35</v>
      </c>
      <c r="O18" s="36">
        <f>space</f>
        <v>5.6784</v>
      </c>
      <c r="P18" s="37">
        <f>+IF(M18="item",O18,IF(M18&lt;&gt;0,M18*O18,""))</f>
        <v>397.488</v>
      </c>
      <c r="Q18" s="54" t="s">
        <v>39</v>
      </c>
      <c r="S18" s="110" t="str">
        <f>+E18</f>
        <v>150mm thick Spaceblanket</v>
      </c>
      <c r="T18" s="114">
        <f>+K18</f>
        <v>670.488</v>
      </c>
      <c r="U18" s="12"/>
      <c r="V18" s="12">
        <v>60</v>
      </c>
      <c r="W18" s="19">
        <f>ROUND(+IF(V18&gt;0,T18/V18,""),2)</f>
        <v>11.17</v>
      </c>
      <c r="X18" s="111"/>
    </row>
    <row r="19" spans="1:24" ht="12.75" hidden="1" outlineLevel="1">
      <c r="A19" s="60"/>
      <c r="B19" s="61"/>
      <c r="C19" s="64">
        <v>7</v>
      </c>
      <c r="D19" s="63"/>
      <c r="E19" s="38"/>
      <c r="F19" s="33"/>
      <c r="G19" s="34"/>
      <c r="H19" s="39"/>
      <c r="I19" s="39"/>
      <c r="J19" s="36"/>
      <c r="K19" s="37"/>
      <c r="L19" s="31"/>
      <c r="M19" s="33"/>
      <c r="N19" s="34"/>
      <c r="O19" s="36"/>
      <c r="P19" s="37"/>
      <c r="Q19" s="54"/>
      <c r="S19" s="110"/>
      <c r="T19" s="114"/>
      <c r="U19" s="12"/>
      <c r="V19" s="12"/>
      <c r="W19" s="19"/>
      <c r="X19" s="111"/>
    </row>
    <row r="20" spans="1:24" ht="12.75" hidden="1" outlineLevel="1">
      <c r="A20" s="60"/>
      <c r="B20" s="61"/>
      <c r="C20" s="135">
        <v>6.8</v>
      </c>
      <c r="D20" s="63">
        <f>+C19*C20</f>
        <v>47.6</v>
      </c>
      <c r="E20" s="38"/>
      <c r="F20" s="33"/>
      <c r="G20" s="34"/>
      <c r="H20" s="39"/>
      <c r="I20" s="39"/>
      <c r="J20" s="36"/>
      <c r="K20" s="37"/>
      <c r="L20" s="31"/>
      <c r="M20" s="33"/>
      <c r="N20" s="34"/>
      <c r="O20" s="36"/>
      <c r="P20" s="37"/>
      <c r="Q20" s="54"/>
      <c r="S20" s="110"/>
      <c r="T20" s="114"/>
      <c r="U20" s="12"/>
      <c r="V20" s="12"/>
      <c r="W20" s="19"/>
      <c r="X20" s="111"/>
    </row>
    <row r="21" spans="1:24" ht="12.75" hidden="1" outlineLevel="1">
      <c r="A21" s="60"/>
      <c r="B21" s="61"/>
      <c r="C21" s="64">
        <v>3.8</v>
      </c>
      <c r="D21" s="63"/>
      <c r="E21" s="38"/>
      <c r="F21" s="33"/>
      <c r="G21" s="34"/>
      <c r="H21" s="39"/>
      <c r="I21" s="39"/>
      <c r="J21" s="36"/>
      <c r="K21" s="37"/>
      <c r="L21" s="31"/>
      <c r="M21" s="33"/>
      <c r="N21" s="34"/>
      <c r="O21" s="36"/>
      <c r="P21" s="37"/>
      <c r="Q21" s="54"/>
      <c r="S21" s="110"/>
      <c r="T21" s="114"/>
      <c r="U21" s="12"/>
      <c r="V21" s="12"/>
      <c r="W21" s="19"/>
      <c r="X21" s="111"/>
    </row>
    <row r="22" spans="1:24" ht="12.75" hidden="1" outlineLevel="1">
      <c r="A22" s="60"/>
      <c r="B22" s="61"/>
      <c r="C22" s="135">
        <v>5.5</v>
      </c>
      <c r="D22" s="63">
        <f>+C21*C22</f>
        <v>20.9</v>
      </c>
      <c r="E22" s="38"/>
      <c r="F22" s="33"/>
      <c r="G22" s="34"/>
      <c r="H22" s="39"/>
      <c r="I22" s="39"/>
      <c r="J22" s="36"/>
      <c r="K22" s="37"/>
      <c r="L22" s="31"/>
      <c r="M22" s="33"/>
      <c r="N22" s="34"/>
      <c r="O22" s="36"/>
      <c r="P22" s="37"/>
      <c r="Q22" s="54"/>
      <c r="S22" s="110"/>
      <c r="T22" s="114"/>
      <c r="U22" s="12"/>
      <c r="V22" s="12"/>
      <c r="W22" s="19"/>
      <c r="X22" s="111"/>
    </row>
    <row r="23" spans="1:24" ht="12.75" hidden="1" outlineLevel="1">
      <c r="A23" s="60"/>
      <c r="B23" s="61"/>
      <c r="C23" s="64">
        <v>0.8</v>
      </c>
      <c r="D23" s="63"/>
      <c r="E23" s="38"/>
      <c r="F23" s="33"/>
      <c r="G23" s="34"/>
      <c r="H23" s="39"/>
      <c r="I23" s="39"/>
      <c r="J23" s="36"/>
      <c r="K23" s="37"/>
      <c r="L23" s="31"/>
      <c r="M23" s="33"/>
      <c r="N23" s="34"/>
      <c r="O23" s="36"/>
      <c r="P23" s="37"/>
      <c r="Q23" s="54"/>
      <c r="S23" s="110"/>
      <c r="T23" s="114"/>
      <c r="U23" s="12"/>
      <c r="V23" s="12"/>
      <c r="W23" s="19"/>
      <c r="X23" s="111"/>
    </row>
    <row r="24" spans="1:24" ht="12.75" hidden="1" outlineLevel="1">
      <c r="A24" s="60"/>
      <c r="B24" s="61"/>
      <c r="C24" s="135">
        <v>1.7</v>
      </c>
      <c r="D24" s="63">
        <f>+C23*C24</f>
        <v>1.36</v>
      </c>
      <c r="E24" s="38"/>
      <c r="F24" s="33"/>
      <c r="G24" s="34"/>
      <c r="H24" s="39"/>
      <c r="I24" s="39"/>
      <c r="J24" s="36"/>
      <c r="K24" s="37"/>
      <c r="L24" s="31"/>
      <c r="M24" s="33"/>
      <c r="N24" s="34"/>
      <c r="O24" s="36"/>
      <c r="P24" s="37"/>
      <c r="Q24" s="54"/>
      <c r="S24" s="110"/>
      <c r="T24" s="114"/>
      <c r="U24" s="12"/>
      <c r="V24" s="12"/>
      <c r="W24" s="19"/>
      <c r="X24" s="111"/>
    </row>
    <row r="25" spans="1:24" ht="12.75" hidden="1" outlineLevel="1">
      <c r="A25" s="60"/>
      <c r="B25" s="61"/>
      <c r="C25" s="64"/>
      <c r="D25" s="63"/>
      <c r="E25" s="38"/>
      <c r="F25" s="33"/>
      <c r="G25" s="34"/>
      <c r="H25" s="39"/>
      <c r="I25" s="39"/>
      <c r="J25" s="36"/>
      <c r="K25" s="37"/>
      <c r="L25" s="31"/>
      <c r="M25" s="33"/>
      <c r="N25" s="34"/>
      <c r="O25" s="36"/>
      <c r="P25" s="37"/>
      <c r="Q25" s="54"/>
      <c r="S25" s="110"/>
      <c r="T25" s="114"/>
      <c r="U25" s="12"/>
      <c r="V25" s="12"/>
      <c r="W25" s="19"/>
      <c r="X25" s="111"/>
    </row>
    <row r="26" spans="1:24" ht="12.75" hidden="1" outlineLevel="1">
      <c r="A26" s="60"/>
      <c r="B26" s="61"/>
      <c r="C26" s="64"/>
      <c r="D26" s="65">
        <f>SUM(D19:D25)</f>
        <v>69.86</v>
      </c>
      <c r="E26" s="38"/>
      <c r="F26" s="33"/>
      <c r="G26" s="34"/>
      <c r="H26" s="39"/>
      <c r="I26" s="39"/>
      <c r="J26" s="36"/>
      <c r="K26" s="37"/>
      <c r="L26" s="31"/>
      <c r="M26" s="33"/>
      <c r="N26" s="34"/>
      <c r="O26" s="36"/>
      <c r="P26" s="37"/>
      <c r="Q26" s="54"/>
      <c r="S26" s="110"/>
      <c r="T26" s="114"/>
      <c r="U26" s="12"/>
      <c r="V26" s="12"/>
      <c r="W26" s="19"/>
      <c r="X26" s="111"/>
    </row>
    <row r="27" spans="1:24" ht="12.75" hidden="1" outlineLevel="1">
      <c r="A27" s="60"/>
      <c r="B27" s="61"/>
      <c r="C27" s="64"/>
      <c r="D27" s="63"/>
      <c r="E27" s="38"/>
      <c r="F27" s="33"/>
      <c r="G27" s="34"/>
      <c r="H27" s="39"/>
      <c r="I27" s="39"/>
      <c r="J27" s="36">
        <f t="shared" si="0"/>
      </c>
      <c r="K27" s="37">
        <f t="shared" si="1"/>
      </c>
      <c r="L27" s="31"/>
      <c r="M27" s="33"/>
      <c r="N27" s="34"/>
      <c r="O27" s="36"/>
      <c r="P27" s="37">
        <f aca="true" t="shared" si="2" ref="P27:P32">+IF(M27="item",O27,IF(M27&lt;&gt;0,M27*O27,""))</f>
      </c>
      <c r="Q27" s="54"/>
      <c r="S27" s="110"/>
      <c r="T27" s="12"/>
      <c r="U27" s="12"/>
      <c r="V27" s="12"/>
      <c r="W27" s="19"/>
      <c r="X27" s="111"/>
    </row>
    <row r="28" spans="1:24" ht="12.75" hidden="1" outlineLevel="1">
      <c r="A28" s="60"/>
      <c r="B28" s="61"/>
      <c r="C28" s="64"/>
      <c r="D28" s="63"/>
      <c r="E28" s="38" t="s">
        <v>41</v>
      </c>
      <c r="F28" s="33">
        <v>40</v>
      </c>
      <c r="G28" s="34" t="s">
        <v>8</v>
      </c>
      <c r="H28" s="39">
        <v>0.05</v>
      </c>
      <c r="I28" s="39">
        <f>eavesvent</f>
        <v>4.35</v>
      </c>
      <c r="J28" s="36">
        <f t="shared" si="0"/>
        <v>5.85</v>
      </c>
      <c r="K28" s="37">
        <f t="shared" si="1"/>
        <v>234</v>
      </c>
      <c r="L28" s="31"/>
      <c r="M28" s="33">
        <f>+F28</f>
        <v>40</v>
      </c>
      <c r="N28" s="34" t="s">
        <v>8</v>
      </c>
      <c r="O28" s="36">
        <f>eavesvent</f>
        <v>4.35</v>
      </c>
      <c r="P28" s="37">
        <f t="shared" si="2"/>
        <v>174</v>
      </c>
      <c r="Q28" s="54"/>
      <c r="S28" s="110" t="str">
        <f>+E28</f>
        <v>Glidevale eaves ventilators RV 401</v>
      </c>
      <c r="T28" s="114">
        <f>+K28</f>
        <v>234</v>
      </c>
      <c r="U28" s="12"/>
      <c r="V28" s="12">
        <v>60</v>
      </c>
      <c r="W28" s="19">
        <f>ROUND(+IF(V28&gt;0,T28/V28,""),2)</f>
        <v>3.9</v>
      </c>
      <c r="X28" s="111"/>
    </row>
    <row r="29" spans="1:24" ht="12.75" hidden="1" outlineLevel="1">
      <c r="A29" s="60"/>
      <c r="B29" s="61"/>
      <c r="C29" s="64"/>
      <c r="D29" s="63"/>
      <c r="E29" s="38"/>
      <c r="F29" s="33"/>
      <c r="G29" s="34"/>
      <c r="H29" s="39"/>
      <c r="I29" s="39"/>
      <c r="J29" s="36">
        <f t="shared" si="0"/>
      </c>
      <c r="K29" s="37">
        <f t="shared" si="1"/>
      </c>
      <c r="L29" s="31"/>
      <c r="M29" s="33"/>
      <c r="N29" s="34"/>
      <c r="O29" s="36"/>
      <c r="P29" s="37">
        <f t="shared" si="2"/>
      </c>
      <c r="Q29" s="54"/>
      <c r="S29" s="110"/>
      <c r="T29" s="12"/>
      <c r="U29" s="12"/>
      <c r="V29" s="12"/>
      <c r="W29" s="19"/>
      <c r="X29" s="111"/>
    </row>
    <row r="30" spans="1:24" ht="12.75" hidden="1" outlineLevel="1">
      <c r="A30" s="60"/>
      <c r="B30" s="61"/>
      <c r="C30" s="64"/>
      <c r="D30" s="63"/>
      <c r="E30" s="38" t="s">
        <v>40</v>
      </c>
      <c r="F30" s="33" t="s">
        <v>1</v>
      </c>
      <c r="G30" s="34"/>
      <c r="H30" s="39"/>
      <c r="I30" s="39">
        <f>draughtdoor</f>
        <v>10.0688</v>
      </c>
      <c r="J30" s="36">
        <f t="shared" si="0"/>
        <v>10.0688</v>
      </c>
      <c r="K30" s="37">
        <f t="shared" si="1"/>
        <v>10.0688</v>
      </c>
      <c r="L30" s="31"/>
      <c r="M30" s="33" t="str">
        <f>+F30</f>
        <v>Item</v>
      </c>
      <c r="N30" s="34"/>
      <c r="O30" s="36">
        <f>+I30</f>
        <v>10.0688</v>
      </c>
      <c r="P30" s="37">
        <f t="shared" si="2"/>
        <v>10.0688</v>
      </c>
      <c r="Q30" s="54"/>
      <c r="S30" s="110" t="str">
        <f>+E30</f>
        <v>Pin on brush seals to loft hatch</v>
      </c>
      <c r="T30" s="114">
        <f>+K30</f>
        <v>10.0688</v>
      </c>
      <c r="U30" s="12"/>
      <c r="V30" s="12">
        <v>20</v>
      </c>
      <c r="W30" s="19">
        <f>ROUND(+IF(V30&gt;0,T30/V30,""),2)</f>
        <v>0.5</v>
      </c>
      <c r="X30" s="111"/>
    </row>
    <row r="31" spans="1:24" ht="12.75" hidden="1" outlineLevel="1">
      <c r="A31" s="60"/>
      <c r="B31" s="61"/>
      <c r="C31" s="64"/>
      <c r="D31" s="63"/>
      <c r="E31" s="38"/>
      <c r="F31" s="33"/>
      <c r="G31" s="34"/>
      <c r="H31" s="39"/>
      <c r="I31" s="39"/>
      <c r="J31" s="36">
        <f t="shared" si="0"/>
      </c>
      <c r="K31" s="37">
        <f t="shared" si="1"/>
      </c>
      <c r="L31" s="31"/>
      <c r="M31" s="33"/>
      <c r="N31" s="34"/>
      <c r="O31" s="36"/>
      <c r="P31" s="37">
        <f t="shared" si="2"/>
      </c>
      <c r="Q31" s="54"/>
      <c r="S31" s="110"/>
      <c r="T31" s="12"/>
      <c r="U31" s="12"/>
      <c r="V31" s="12"/>
      <c r="W31" s="19"/>
      <c r="X31" s="111"/>
    </row>
    <row r="32" spans="1:24" ht="12.75" hidden="1" outlineLevel="1">
      <c r="A32" s="60"/>
      <c r="B32" s="61"/>
      <c r="C32" s="64"/>
      <c r="D32" s="63"/>
      <c r="E32" s="38" t="s">
        <v>43</v>
      </c>
      <c r="F32" s="33" t="s">
        <v>1</v>
      </c>
      <c r="G32" s="34"/>
      <c r="H32" s="39"/>
      <c r="I32" s="39">
        <v>10</v>
      </c>
      <c r="J32" s="36">
        <v>50</v>
      </c>
      <c r="K32" s="37">
        <f t="shared" si="1"/>
        <v>50</v>
      </c>
      <c r="L32" s="31"/>
      <c r="M32" s="33" t="s">
        <v>1</v>
      </c>
      <c r="N32" s="34"/>
      <c r="O32" s="36">
        <v>25</v>
      </c>
      <c r="P32" s="37">
        <f t="shared" si="2"/>
        <v>25</v>
      </c>
      <c r="Q32" s="54"/>
      <c r="S32" s="110" t="str">
        <f>+E32</f>
        <v>Sundry materials</v>
      </c>
      <c r="T32" s="114">
        <f>+K32</f>
        <v>50</v>
      </c>
      <c r="U32" s="12"/>
      <c r="V32" s="12">
        <v>60</v>
      </c>
      <c r="W32" s="19">
        <f>ROUND(+IF(V32&gt;0,T32/V32,""),2)</f>
        <v>0.83</v>
      </c>
      <c r="X32" s="111"/>
    </row>
    <row r="33" spans="1:24" ht="12.75" hidden="1" outlineLevel="1">
      <c r="A33" s="60"/>
      <c r="B33" s="61"/>
      <c r="C33" s="64"/>
      <c r="D33" s="63"/>
      <c r="E33" s="38"/>
      <c r="F33" s="33"/>
      <c r="G33" s="34"/>
      <c r="H33" s="39"/>
      <c r="I33" s="39"/>
      <c r="J33" s="36">
        <f t="shared" si="0"/>
      </c>
      <c r="K33" s="37">
        <f t="shared" si="1"/>
      </c>
      <c r="L33" s="31"/>
      <c r="M33" s="33"/>
      <c r="N33" s="34"/>
      <c r="O33" s="36"/>
      <c r="P33" s="37"/>
      <c r="Q33" s="54"/>
      <c r="S33" s="110"/>
      <c r="T33" s="114"/>
      <c r="U33" s="12"/>
      <c r="V33" s="12"/>
      <c r="W33" s="19"/>
      <c r="X33" s="111"/>
    </row>
    <row r="34" spans="1:24" ht="25.5" hidden="1" outlineLevel="1">
      <c r="A34" s="60"/>
      <c r="B34" s="61"/>
      <c r="C34" s="64"/>
      <c r="D34" s="63"/>
      <c r="E34" s="38" t="s">
        <v>334</v>
      </c>
      <c r="F34" s="33" t="s">
        <v>1</v>
      </c>
      <c r="G34" s="34"/>
      <c r="H34" s="39">
        <v>8</v>
      </c>
      <c r="I34" s="39">
        <v>40</v>
      </c>
      <c r="J34" s="36">
        <f t="shared" si="0"/>
        <v>280</v>
      </c>
      <c r="K34" s="37">
        <f t="shared" si="1"/>
        <v>280</v>
      </c>
      <c r="L34" s="31"/>
      <c r="M34" s="33"/>
      <c r="N34" s="34"/>
      <c r="O34" s="36"/>
      <c r="P34" s="37"/>
      <c r="Q34" s="54"/>
      <c r="S34" s="110"/>
      <c r="T34" s="114"/>
      <c r="U34" s="12"/>
      <c r="V34" s="12"/>
      <c r="W34" s="19"/>
      <c r="X34" s="111"/>
    </row>
    <row r="35" spans="1:24" ht="12.75" hidden="1" outlineLevel="1">
      <c r="A35" s="60"/>
      <c r="B35" s="61"/>
      <c r="C35" s="64"/>
      <c r="D35" s="63"/>
      <c r="E35" s="38"/>
      <c r="F35" s="33"/>
      <c r="G35" s="34"/>
      <c r="H35" s="39"/>
      <c r="I35" s="39"/>
      <c r="J35" s="36">
        <f t="shared" si="0"/>
      </c>
      <c r="K35" s="37"/>
      <c r="L35" s="31"/>
      <c r="M35" s="33"/>
      <c r="N35" s="34"/>
      <c r="O35" s="36"/>
      <c r="P35" s="37"/>
      <c r="Q35" s="54"/>
      <c r="S35" s="110"/>
      <c r="T35" s="114"/>
      <c r="U35" s="12"/>
      <c r="V35" s="12"/>
      <c r="W35" s="19"/>
      <c r="X35" s="111"/>
    </row>
    <row r="36" spans="1:24" ht="12.75" hidden="1" outlineLevel="1">
      <c r="A36" s="60"/>
      <c r="B36" s="61"/>
      <c r="C36" s="64"/>
      <c r="D36" s="63"/>
      <c r="E36" s="38" t="s">
        <v>362</v>
      </c>
      <c r="F36" s="33">
        <v>10</v>
      </c>
      <c r="G36" s="34" t="s">
        <v>363</v>
      </c>
      <c r="H36" s="39"/>
      <c r="I36" s="39"/>
      <c r="J36" s="36">
        <f>SUM(K17:K34)</f>
        <v>1244.5568</v>
      </c>
      <c r="K36" s="37">
        <f>+J36*F36%</f>
        <v>124.45568000000002</v>
      </c>
      <c r="L36" s="31"/>
      <c r="M36" s="33"/>
      <c r="N36" s="34"/>
      <c r="O36" s="36"/>
      <c r="P36" s="37"/>
      <c r="Q36" s="54"/>
      <c r="S36" s="110"/>
      <c r="T36" s="114"/>
      <c r="U36" s="12"/>
      <c r="V36" s="12"/>
      <c r="W36" s="19"/>
      <c r="X36" s="111"/>
    </row>
    <row r="37" spans="1:24" ht="12.75" hidden="1" outlineLevel="1">
      <c r="A37" s="60"/>
      <c r="B37" s="61"/>
      <c r="C37" s="64"/>
      <c r="D37" s="63"/>
      <c r="E37" s="38"/>
      <c r="F37" s="33"/>
      <c r="G37" s="34"/>
      <c r="H37" s="39"/>
      <c r="I37" s="39"/>
      <c r="J37" s="36">
        <f>IF(+I37+H37&gt;0,I37+(H37*labour),"")</f>
      </c>
      <c r="K37" s="37">
        <f t="shared" si="1"/>
      </c>
      <c r="L37" s="31"/>
      <c r="M37" s="33"/>
      <c r="N37" s="34"/>
      <c r="O37" s="36"/>
      <c r="P37" s="37">
        <f>+IF(M37="item",O37,IF(M37&lt;&gt;0,M37*O37,""))</f>
      </c>
      <c r="Q37" s="54"/>
      <c r="S37" s="110"/>
      <c r="T37" s="12"/>
      <c r="U37" s="12"/>
      <c r="V37" s="12"/>
      <c r="W37" s="19"/>
      <c r="X37" s="111"/>
    </row>
    <row r="38" spans="1:24" ht="12.75" collapsed="1">
      <c r="A38" s="60"/>
      <c r="B38" s="61"/>
      <c r="C38" s="64"/>
      <c r="D38" s="63"/>
      <c r="E38" s="38"/>
      <c r="F38" s="33"/>
      <c r="G38" s="34"/>
      <c r="H38" s="39"/>
      <c r="I38" s="39"/>
      <c r="J38" s="36">
        <f>IF(+I38+H38&gt;0,I38+(H38*labour),"")</f>
      </c>
      <c r="K38" s="37"/>
      <c r="L38" s="31"/>
      <c r="M38" s="33"/>
      <c r="N38" s="34"/>
      <c r="O38" s="36"/>
      <c r="P38" s="37">
        <f>+IF(M38="item",O38,IF(M38&lt;&gt;0,M38*O38,""))</f>
      </c>
      <c r="Q38" s="54"/>
      <c r="S38" s="110"/>
      <c r="T38" s="12"/>
      <c r="U38" s="12"/>
      <c r="V38" s="12"/>
      <c r="W38" s="19"/>
      <c r="X38" s="111"/>
    </row>
    <row r="39" spans="1:24" ht="12.75">
      <c r="A39" s="60"/>
      <c r="B39" s="61"/>
      <c r="C39" s="64"/>
      <c r="D39" s="63"/>
      <c r="E39" s="32" t="s">
        <v>85</v>
      </c>
      <c r="F39" s="33"/>
      <c r="G39" s="34"/>
      <c r="H39" s="39"/>
      <c r="I39" s="39"/>
      <c r="J39" s="36">
        <f>IF(+I39+H39&gt;0,I39+(H39*labour),"")</f>
      </c>
      <c r="K39" s="53">
        <f>SUM(K41:K51)</f>
        <v>666.77072</v>
      </c>
      <c r="L39" s="31"/>
      <c r="M39" s="33"/>
      <c r="N39" s="34"/>
      <c r="O39" s="36"/>
      <c r="P39" s="53">
        <f>SUM(P41:P50)</f>
        <v>137.5776</v>
      </c>
      <c r="Q39" s="54"/>
      <c r="S39" s="110"/>
      <c r="T39" s="12"/>
      <c r="U39" s="12"/>
      <c r="V39" s="12"/>
      <c r="W39" s="112">
        <f>SUM(W41:W50)</f>
        <v>60.61</v>
      </c>
      <c r="X39" s="111"/>
    </row>
    <row r="40" spans="1:24" ht="12.75">
      <c r="A40" s="60"/>
      <c r="B40" s="61"/>
      <c r="C40" s="64"/>
      <c r="D40" s="63"/>
      <c r="E40" s="38"/>
      <c r="F40" s="33"/>
      <c r="G40" s="34"/>
      <c r="H40" s="39"/>
      <c r="I40" s="39"/>
      <c r="J40" s="36">
        <f>IF(+I40+H40&gt;0,I40+(H40*labour),"")</f>
      </c>
      <c r="K40" s="37">
        <f>+IF(F40="item",J40,IF(F40&lt;&gt;0,F40*J40,""))</f>
      </c>
      <c r="L40" s="31"/>
      <c r="M40" s="33"/>
      <c r="N40" s="34"/>
      <c r="O40" s="36"/>
      <c r="P40" s="37">
        <f>+IF(M40="item",O40,IF(M40&lt;&gt;0,M40*O40,""))</f>
      </c>
      <c r="Q40" s="54"/>
      <c r="S40" s="113" t="s">
        <v>257</v>
      </c>
      <c r="T40" s="12"/>
      <c r="U40" s="12"/>
      <c r="V40" s="12"/>
      <c r="W40" s="19"/>
      <c r="X40" s="111"/>
    </row>
    <row r="41" spans="1:24" ht="25.5" hidden="1" outlineLevel="1">
      <c r="A41" s="60"/>
      <c r="B41" s="61"/>
      <c r="C41" s="64"/>
      <c r="D41" s="63"/>
      <c r="E41" s="38" t="s">
        <v>29</v>
      </c>
      <c r="F41" s="33">
        <v>22</v>
      </c>
      <c r="G41" s="34" t="s">
        <v>8</v>
      </c>
      <c r="H41" s="39">
        <v>0.5</v>
      </c>
      <c r="I41" s="39">
        <f>8*1</f>
        <v>8</v>
      </c>
      <c r="J41" s="36">
        <f>IF(+I41+H41&gt;0,I41+(H41*labour),"")</f>
        <v>23</v>
      </c>
      <c r="K41" s="37">
        <f>+IF(F41="item",J41,IF(F41&lt;&gt;0,F41*J41,""))</f>
        <v>506</v>
      </c>
      <c r="L41" s="31" t="s">
        <v>28</v>
      </c>
      <c r="M41" s="33">
        <v>11</v>
      </c>
      <c r="N41" s="34" t="s">
        <v>8</v>
      </c>
      <c r="O41" s="36">
        <f>+I41</f>
        <v>8</v>
      </c>
      <c r="P41" s="37">
        <f>+IF(M41="item",O41,IF(M41&lt;&gt;0,M41*O41,""))</f>
        <v>88</v>
      </c>
      <c r="Q41" s="54" t="s">
        <v>28</v>
      </c>
      <c r="S41" s="110" t="str">
        <f>+E41</f>
        <v>Pin on brush strips and rubber seals</v>
      </c>
      <c r="T41" s="114">
        <f>+K41</f>
        <v>506</v>
      </c>
      <c r="U41" s="12"/>
      <c r="V41" s="12">
        <v>10</v>
      </c>
      <c r="W41" s="19">
        <f>ROUND(+IF(V41&gt;0,T41/V41,""),2)</f>
        <v>50.6</v>
      </c>
      <c r="X41" s="111"/>
    </row>
    <row r="42" spans="1:24" ht="12.75" hidden="1" outlineLevel="1">
      <c r="A42" s="60"/>
      <c r="B42" s="61"/>
      <c r="C42" s="64"/>
      <c r="D42" s="63"/>
      <c r="E42" s="38"/>
      <c r="F42" s="33"/>
      <c r="G42" s="34"/>
      <c r="H42" s="39"/>
      <c r="I42" s="39"/>
      <c r="J42" s="36"/>
      <c r="K42" s="37"/>
      <c r="L42" s="31"/>
      <c r="M42" s="33"/>
      <c r="N42" s="34"/>
      <c r="O42" s="36"/>
      <c r="P42" s="37"/>
      <c r="Q42" s="54"/>
      <c r="S42" s="110"/>
      <c r="T42" s="12"/>
      <c r="U42" s="12"/>
      <c r="V42" s="12"/>
      <c r="W42" s="19"/>
      <c r="X42" s="111"/>
    </row>
    <row r="43" spans="1:24" ht="12.75" hidden="1" outlineLevel="1">
      <c r="A43" s="60"/>
      <c r="B43" s="61"/>
      <c r="C43" s="64"/>
      <c r="D43" s="63"/>
      <c r="E43" s="38" t="s">
        <v>23</v>
      </c>
      <c r="F43" s="33" t="s">
        <v>1</v>
      </c>
      <c r="G43" s="34"/>
      <c r="H43" s="39"/>
      <c r="I43" s="39">
        <v>25</v>
      </c>
      <c r="J43" s="36">
        <f aca="true" t="shared" si="3" ref="J43:J52">IF(+I43+H43&gt;0,I43+(H43*labour),"")</f>
        <v>25</v>
      </c>
      <c r="K43" s="37">
        <f aca="true" t="shared" si="4" ref="K43:K52">+IF(F43="item",J43,IF(F43&lt;&gt;0,F43*J43,""))</f>
        <v>25</v>
      </c>
      <c r="L43" s="31" t="s">
        <v>31</v>
      </c>
      <c r="M43" s="33">
        <v>1</v>
      </c>
      <c r="N43" s="34" t="s">
        <v>8</v>
      </c>
      <c r="O43" s="36">
        <v>25</v>
      </c>
      <c r="P43" s="37">
        <f aca="true" t="shared" si="5" ref="P43:P52">+IF(M43="item",O43,IF(M43&lt;&gt;0,M43*O43,""))</f>
        <v>25</v>
      </c>
      <c r="Q43" s="54" t="s">
        <v>31</v>
      </c>
      <c r="S43" s="110" t="str">
        <f>+E43</f>
        <v>Sundry consumables/ materials</v>
      </c>
      <c r="T43" s="114">
        <f>+K43</f>
        <v>25</v>
      </c>
      <c r="U43" s="12"/>
      <c r="V43" s="12">
        <v>10</v>
      </c>
      <c r="W43" s="19">
        <f>ROUND(+IF(V43&gt;0,T43/V43,""),2)</f>
        <v>2.5</v>
      </c>
      <c r="X43" s="111"/>
    </row>
    <row r="44" spans="1:24" ht="12.75" hidden="1" outlineLevel="1">
      <c r="A44" s="60"/>
      <c r="B44" s="61"/>
      <c r="C44" s="64"/>
      <c r="D44" s="65"/>
      <c r="E44" s="38"/>
      <c r="F44" s="33"/>
      <c r="G44" s="34"/>
      <c r="H44" s="39"/>
      <c r="I44" s="39"/>
      <c r="J44" s="36">
        <f t="shared" si="3"/>
      </c>
      <c r="K44" s="37">
        <f t="shared" si="4"/>
      </c>
      <c r="L44" s="31"/>
      <c r="M44" s="33"/>
      <c r="N44" s="34"/>
      <c r="O44" s="36"/>
      <c r="P44" s="37">
        <f t="shared" si="5"/>
      </c>
      <c r="Q44" s="54"/>
      <c r="S44" s="110"/>
      <c r="T44" s="12"/>
      <c r="U44" s="12"/>
      <c r="V44" s="12"/>
      <c r="W44" s="19"/>
      <c r="X44" s="111"/>
    </row>
    <row r="45" spans="1:24" ht="12.75" hidden="1" outlineLevel="1">
      <c r="A45" s="60"/>
      <c r="B45" s="61"/>
      <c r="C45" s="64"/>
      <c r="D45" s="63"/>
      <c r="E45" s="38" t="s">
        <v>26</v>
      </c>
      <c r="F45" s="33">
        <v>2</v>
      </c>
      <c r="G45" s="34" t="s">
        <v>8</v>
      </c>
      <c r="H45" s="39">
        <v>0.5</v>
      </c>
      <c r="I45" s="39">
        <f>draughtdoor</f>
        <v>10.0688</v>
      </c>
      <c r="J45" s="36">
        <f t="shared" si="3"/>
        <v>25.0688</v>
      </c>
      <c r="K45" s="37">
        <f t="shared" si="4"/>
        <v>50.1376</v>
      </c>
      <c r="L45" s="69"/>
      <c r="M45" s="33">
        <v>1</v>
      </c>
      <c r="N45" s="34" t="s">
        <v>8</v>
      </c>
      <c r="O45" s="36">
        <f>draughtdoor</f>
        <v>10.0688</v>
      </c>
      <c r="P45" s="37">
        <f t="shared" si="5"/>
        <v>10.0688</v>
      </c>
      <c r="Q45" s="96"/>
      <c r="S45" s="110" t="str">
        <f>+E45</f>
        <v>Pin on brush seal; head and jambs</v>
      </c>
      <c r="T45" s="114">
        <f>+K45</f>
        <v>50.1376</v>
      </c>
      <c r="U45" s="12"/>
      <c r="V45" s="12">
        <v>10</v>
      </c>
      <c r="W45" s="19">
        <f>ROUND(+IF(V45&gt;0,T45/V45,""),2)</f>
        <v>5.01</v>
      </c>
      <c r="X45" s="111"/>
    </row>
    <row r="46" spans="1:24" ht="12.75" hidden="1" outlineLevel="1">
      <c r="A46" s="60"/>
      <c r="B46" s="61"/>
      <c r="C46" s="64"/>
      <c r="D46" s="63"/>
      <c r="E46" s="38"/>
      <c r="F46" s="33"/>
      <c r="G46" s="34"/>
      <c r="H46" s="39"/>
      <c r="I46" s="39"/>
      <c r="J46" s="36">
        <f t="shared" si="3"/>
      </c>
      <c r="K46" s="37">
        <f t="shared" si="4"/>
      </c>
      <c r="L46" s="31"/>
      <c r="M46" s="33"/>
      <c r="N46" s="34"/>
      <c r="O46" s="36"/>
      <c r="P46" s="37">
        <f t="shared" si="5"/>
      </c>
      <c r="Q46" s="54"/>
      <c r="S46" s="110"/>
      <c r="T46" s="12"/>
      <c r="U46" s="12"/>
      <c r="V46" s="12"/>
      <c r="W46" s="19"/>
      <c r="X46" s="111"/>
    </row>
    <row r="47" spans="1:24" ht="12.75" hidden="1" outlineLevel="1">
      <c r="A47" s="60"/>
      <c r="B47" s="61"/>
      <c r="C47" s="64"/>
      <c r="D47" s="63"/>
      <c r="E47" s="38" t="s">
        <v>27</v>
      </c>
      <c r="F47" s="33">
        <v>2</v>
      </c>
      <c r="G47" s="34" t="s">
        <v>8</v>
      </c>
      <c r="H47" s="39">
        <v>0.1</v>
      </c>
      <c r="I47" s="39">
        <f>thresholdbrush</f>
        <v>9.5088</v>
      </c>
      <c r="J47" s="36">
        <f t="shared" si="3"/>
        <v>12.5088</v>
      </c>
      <c r="K47" s="37">
        <f t="shared" si="4"/>
        <v>25.0176</v>
      </c>
      <c r="L47" s="69"/>
      <c r="M47" s="33">
        <v>1</v>
      </c>
      <c r="N47" s="34" t="s">
        <v>8</v>
      </c>
      <c r="O47" s="39">
        <f>thresholdbrush</f>
        <v>9.5088</v>
      </c>
      <c r="P47" s="37">
        <f t="shared" si="5"/>
        <v>9.5088</v>
      </c>
      <c r="Q47" s="96"/>
      <c r="S47" s="110" t="str">
        <f>+E47</f>
        <v>Pin on bottom brush strip</v>
      </c>
      <c r="T47" s="114">
        <f>+K47</f>
        <v>25.0176</v>
      </c>
      <c r="U47" s="12"/>
      <c r="V47" s="12">
        <v>10</v>
      </c>
      <c r="W47" s="19">
        <f>ROUND(+IF(V47&gt;0,T47/V47,""),2)</f>
        <v>2.5</v>
      </c>
      <c r="X47" s="111"/>
    </row>
    <row r="48" spans="1:24" ht="12.75" hidden="1" outlineLevel="1">
      <c r="A48" s="60"/>
      <c r="B48" s="61"/>
      <c r="C48" s="64"/>
      <c r="D48" s="63"/>
      <c r="E48" s="38"/>
      <c r="F48" s="33"/>
      <c r="G48" s="34"/>
      <c r="H48" s="39"/>
      <c r="I48" s="39"/>
      <c r="J48" s="36">
        <f t="shared" si="3"/>
      </c>
      <c r="K48" s="37">
        <f t="shared" si="4"/>
      </c>
      <c r="L48" s="31"/>
      <c r="M48" s="33"/>
      <c r="N48" s="34"/>
      <c r="O48" s="36"/>
      <c r="P48" s="37">
        <f t="shared" si="5"/>
      </c>
      <c r="Q48" s="54"/>
      <c r="S48" s="110"/>
      <c r="T48" s="12"/>
      <c r="U48" s="12"/>
      <c r="V48" s="12"/>
      <c r="W48" s="19"/>
      <c r="X48" s="111"/>
    </row>
    <row r="49" spans="1:24" ht="12.75" hidden="1" outlineLevel="1">
      <c r="A49" s="60"/>
      <c r="B49" s="61"/>
      <c r="C49" s="64"/>
      <c r="D49" s="63"/>
      <c r="E49" s="38" t="s">
        <v>30</v>
      </c>
      <c r="F49" s="33"/>
      <c r="G49" s="34"/>
      <c r="H49" s="39"/>
      <c r="I49" s="39"/>
      <c r="J49" s="36">
        <f t="shared" si="3"/>
      </c>
      <c r="K49" s="37">
        <f t="shared" si="4"/>
      </c>
      <c r="L49" s="31"/>
      <c r="M49" s="33" t="s">
        <v>1</v>
      </c>
      <c r="N49" s="34"/>
      <c r="O49" s="36">
        <v>5</v>
      </c>
      <c r="P49" s="37">
        <f t="shared" si="5"/>
        <v>5</v>
      </c>
      <c r="Q49" s="54"/>
      <c r="S49" s="110" t="str">
        <f>+E49</f>
        <v>Delivery intrnet sourced materials</v>
      </c>
      <c r="T49" s="114">
        <f>+K49</f>
      </c>
      <c r="U49" s="12"/>
      <c r="V49" s="12"/>
      <c r="W49" s="19"/>
      <c r="X49" s="111"/>
    </row>
    <row r="50" spans="1:24" ht="12.75" hidden="1" outlineLevel="1">
      <c r="A50" s="60"/>
      <c r="B50" s="61"/>
      <c r="C50" s="64"/>
      <c r="D50" s="63"/>
      <c r="E50" s="38"/>
      <c r="F50" s="33"/>
      <c r="G50" s="34"/>
      <c r="H50" s="39"/>
      <c r="I50" s="39"/>
      <c r="J50" s="36">
        <f t="shared" si="3"/>
      </c>
      <c r="K50" s="37">
        <f t="shared" si="4"/>
      </c>
      <c r="L50" s="31"/>
      <c r="M50" s="33"/>
      <c r="N50" s="34"/>
      <c r="O50" s="36"/>
      <c r="P50" s="37">
        <f t="shared" si="5"/>
      </c>
      <c r="Q50" s="54"/>
      <c r="S50" s="110"/>
      <c r="T50" s="12"/>
      <c r="U50" s="12"/>
      <c r="V50" s="12"/>
      <c r="W50" s="19"/>
      <c r="X50" s="111"/>
    </row>
    <row r="51" spans="1:24" ht="12.75" hidden="1" outlineLevel="1">
      <c r="A51" s="60"/>
      <c r="B51" s="61"/>
      <c r="C51" s="64"/>
      <c r="D51" s="63"/>
      <c r="E51" s="38" t="s">
        <v>362</v>
      </c>
      <c r="F51" s="33">
        <v>10</v>
      </c>
      <c r="G51" s="34" t="s">
        <v>363</v>
      </c>
      <c r="H51" s="39"/>
      <c r="I51" s="39"/>
      <c r="J51" s="36">
        <f>SUM(K41:K50)</f>
        <v>606.1552</v>
      </c>
      <c r="K51" s="37">
        <f>+J51*F51%</f>
        <v>60.615520000000004</v>
      </c>
      <c r="L51" s="31"/>
      <c r="M51" s="33"/>
      <c r="N51" s="34"/>
      <c r="O51" s="36"/>
      <c r="P51" s="37">
        <f t="shared" si="5"/>
      </c>
      <c r="Q51" s="54"/>
      <c r="S51" s="110"/>
      <c r="T51" s="12"/>
      <c r="U51" s="12"/>
      <c r="V51" s="12"/>
      <c r="W51" s="19"/>
      <c r="X51" s="111"/>
    </row>
    <row r="52" spans="1:24" ht="12.75" collapsed="1">
      <c r="A52" s="60"/>
      <c r="B52" s="61"/>
      <c r="C52" s="64"/>
      <c r="D52" s="63"/>
      <c r="E52" s="38"/>
      <c r="F52" s="33"/>
      <c r="G52" s="34"/>
      <c r="H52" s="39"/>
      <c r="I52" s="39"/>
      <c r="J52" s="36">
        <f t="shared" si="3"/>
      </c>
      <c r="K52" s="37">
        <f t="shared" si="4"/>
      </c>
      <c r="L52" s="31"/>
      <c r="M52" s="33"/>
      <c r="N52" s="34"/>
      <c r="O52" s="36"/>
      <c r="P52" s="37">
        <f t="shared" si="5"/>
      </c>
      <c r="Q52" s="54"/>
      <c r="S52" s="110"/>
      <c r="T52" s="12"/>
      <c r="U52" s="12"/>
      <c r="V52" s="12"/>
      <c r="W52" s="19"/>
      <c r="X52" s="111"/>
    </row>
    <row r="53" spans="1:24" ht="12.75">
      <c r="A53" s="60"/>
      <c r="B53" s="61"/>
      <c r="C53" s="64"/>
      <c r="D53" s="63"/>
      <c r="E53" s="32" t="s">
        <v>86</v>
      </c>
      <c r="F53" s="33"/>
      <c r="G53" s="34"/>
      <c r="H53" s="35"/>
      <c r="I53" s="35"/>
      <c r="J53" s="36"/>
      <c r="K53" s="53">
        <f>SUM(K55:K62)</f>
        <v>139.78800000000004</v>
      </c>
      <c r="L53" s="31"/>
      <c r="M53" s="33"/>
      <c r="N53" s="34"/>
      <c r="O53" s="36"/>
      <c r="P53" s="53">
        <f>SUM(P55:P62)</f>
        <v>94.08000000000001</v>
      </c>
      <c r="Q53" s="54"/>
      <c r="S53" s="110"/>
      <c r="T53" s="12"/>
      <c r="U53" s="12"/>
      <c r="V53" s="12"/>
      <c r="W53" s="112">
        <f>SUM(W55:W59)</f>
        <v>12.71</v>
      </c>
      <c r="X53" s="111"/>
    </row>
    <row r="54" spans="1:24" ht="12.75">
      <c r="A54" s="60"/>
      <c r="B54" s="61"/>
      <c r="C54" s="64"/>
      <c r="D54" s="63"/>
      <c r="E54" s="32"/>
      <c r="F54" s="33"/>
      <c r="G54" s="34"/>
      <c r="H54" s="35"/>
      <c r="I54" s="35"/>
      <c r="J54" s="36"/>
      <c r="K54" s="37">
        <f>+IF(F54="item",J54,IF(F54&lt;&gt;0,F54*J54,""))</f>
      </c>
      <c r="L54" s="31"/>
      <c r="M54" s="33"/>
      <c r="N54" s="34"/>
      <c r="O54" s="36"/>
      <c r="P54" s="37"/>
      <c r="Q54" s="54"/>
      <c r="S54" s="110"/>
      <c r="T54" s="12"/>
      <c r="U54" s="12"/>
      <c r="V54" s="12"/>
      <c r="W54" s="19"/>
      <c r="X54" s="111"/>
    </row>
    <row r="55" spans="1:24" ht="38.25" hidden="1" outlineLevel="1">
      <c r="A55" s="60"/>
      <c r="B55" s="61"/>
      <c r="C55" s="64"/>
      <c r="D55" s="63"/>
      <c r="E55" s="38" t="s">
        <v>17</v>
      </c>
      <c r="F55" s="33"/>
      <c r="G55" s="34"/>
      <c r="H55" s="35"/>
      <c r="I55" s="35"/>
      <c r="J55" s="36"/>
      <c r="K55" s="37"/>
      <c r="L55" s="54" t="s">
        <v>22</v>
      </c>
      <c r="M55" s="33"/>
      <c r="N55" s="34"/>
      <c r="O55" s="36"/>
      <c r="P55" s="37"/>
      <c r="Q55" s="54" t="s">
        <v>22</v>
      </c>
      <c r="S55" s="110"/>
      <c r="T55" s="12"/>
      <c r="U55" s="12"/>
      <c r="V55" s="12"/>
      <c r="W55" s="19"/>
      <c r="X55" s="111"/>
    </row>
    <row r="56" spans="1:24" ht="12.75" hidden="1" outlineLevel="1">
      <c r="A56" s="60"/>
      <c r="B56" s="61"/>
      <c r="C56" s="64"/>
      <c r="D56" s="63"/>
      <c r="E56" s="32"/>
      <c r="F56" s="33"/>
      <c r="G56" s="34"/>
      <c r="H56" s="35"/>
      <c r="I56" s="35"/>
      <c r="J56" s="36"/>
      <c r="K56" s="37"/>
      <c r="L56" s="31"/>
      <c r="M56" s="33"/>
      <c r="N56" s="34"/>
      <c r="O56" s="36"/>
      <c r="P56" s="37"/>
      <c r="Q56" s="54"/>
      <c r="S56" s="113" t="s">
        <v>257</v>
      </c>
      <c r="T56" s="12"/>
      <c r="U56" s="12"/>
      <c r="V56" s="12"/>
      <c r="W56" s="19"/>
      <c r="X56" s="111"/>
    </row>
    <row r="57" spans="1:24" ht="39.75" customHeight="1" hidden="1" outlineLevel="1">
      <c r="A57" s="60"/>
      <c r="B57" s="61"/>
      <c r="C57" s="64"/>
      <c r="D57" s="63"/>
      <c r="E57" s="52" t="s">
        <v>18</v>
      </c>
      <c r="F57" s="33">
        <v>16</v>
      </c>
      <c r="G57" s="34" t="s">
        <v>8</v>
      </c>
      <c r="H57" s="39">
        <v>0.05</v>
      </c>
      <c r="I57" s="39">
        <f>bulb</f>
        <v>3.3600000000000008</v>
      </c>
      <c r="J57" s="36">
        <f>IF(+I57+H57&gt;0,I57+(H57*labour),"")</f>
        <v>4.860000000000001</v>
      </c>
      <c r="K57" s="37">
        <f>+IF(F57="item",J57,IF(F57&lt;&gt;0,F57*J57,""))</f>
        <v>77.76000000000002</v>
      </c>
      <c r="L57" s="31" t="s">
        <v>21</v>
      </c>
      <c r="M57" s="33">
        <f>+F57</f>
        <v>16</v>
      </c>
      <c r="N57" s="34" t="s">
        <v>8</v>
      </c>
      <c r="O57" s="36">
        <f>bulb</f>
        <v>3.3600000000000008</v>
      </c>
      <c r="P57" s="37">
        <f>+IF(M57="item",O57,IF(M57&lt;&gt;0,M57*O57,""))</f>
        <v>53.76000000000001</v>
      </c>
      <c r="Q57" s="54" t="s">
        <v>21</v>
      </c>
      <c r="S57" s="110" t="str">
        <f>+E57</f>
        <v>Pendants/ standard and table lamps</v>
      </c>
      <c r="T57" s="114">
        <f>+K57</f>
        <v>77.76000000000002</v>
      </c>
      <c r="U57" s="12"/>
      <c r="V57" s="12">
        <v>10</v>
      </c>
      <c r="W57" s="19">
        <f>ROUND(+IF(V57&gt;0,T57/V57,""),2)</f>
        <v>7.78</v>
      </c>
      <c r="X57" s="111"/>
    </row>
    <row r="58" spans="1:24" ht="12.75" hidden="1" outlineLevel="1">
      <c r="A58" s="60"/>
      <c r="B58" s="61"/>
      <c r="C58" s="64"/>
      <c r="D58" s="63"/>
      <c r="E58" s="52"/>
      <c r="F58" s="33"/>
      <c r="G58" s="34"/>
      <c r="H58" s="39"/>
      <c r="I58" s="39"/>
      <c r="J58" s="36"/>
      <c r="K58" s="37"/>
      <c r="L58" s="31"/>
      <c r="M58" s="33"/>
      <c r="N58" s="34"/>
      <c r="O58" s="36"/>
      <c r="P58" s="37"/>
      <c r="Q58" s="54"/>
      <c r="S58" s="110"/>
      <c r="T58" s="114"/>
      <c r="U58" s="12"/>
      <c r="V58" s="12"/>
      <c r="W58" s="19"/>
      <c r="X58" s="111"/>
    </row>
    <row r="59" spans="1:24" ht="12.75" hidden="1" outlineLevel="1">
      <c r="A59" s="60"/>
      <c r="B59" s="61"/>
      <c r="C59" s="64"/>
      <c r="D59" s="63"/>
      <c r="E59" s="52" t="s">
        <v>19</v>
      </c>
      <c r="F59" s="33">
        <v>6</v>
      </c>
      <c r="G59" s="34" t="s">
        <v>8</v>
      </c>
      <c r="H59" s="39">
        <v>0.05</v>
      </c>
      <c r="I59" s="39">
        <f>spot</f>
        <v>6.7200000000000015</v>
      </c>
      <c r="J59" s="36">
        <f aca="true" t="shared" si="6" ref="J59:J78">IF(+I59+H59&gt;0,I59+(H59*labour),"")</f>
        <v>8.220000000000002</v>
      </c>
      <c r="K59" s="37">
        <f>+IF(F59="item",J59,IF(F59&lt;&gt;0,F59*J59,""))</f>
        <v>49.320000000000014</v>
      </c>
      <c r="L59" s="31" t="s">
        <v>20</v>
      </c>
      <c r="M59" s="33">
        <f>+F59</f>
        <v>6</v>
      </c>
      <c r="N59" s="34" t="s">
        <v>8</v>
      </c>
      <c r="O59" s="36">
        <f>spot</f>
        <v>6.7200000000000015</v>
      </c>
      <c r="P59" s="37">
        <f aca="true" t="shared" si="7" ref="P59:P76">+IF(M59="item",O59,IF(M59&lt;&gt;0,M59*O59,""))</f>
        <v>40.32000000000001</v>
      </c>
      <c r="Q59" s="54" t="s">
        <v>20</v>
      </c>
      <c r="S59" s="110" t="str">
        <f>+E59</f>
        <v>GU10 spot lamps</v>
      </c>
      <c r="T59" s="114">
        <f>+K59</f>
        <v>49.320000000000014</v>
      </c>
      <c r="U59" s="12"/>
      <c r="V59" s="12">
        <v>10</v>
      </c>
      <c r="W59" s="19">
        <f>ROUND(+IF(V59&gt;0,T59/V59,""),2)</f>
        <v>4.93</v>
      </c>
      <c r="X59" s="111"/>
    </row>
    <row r="60" spans="1:24" ht="12.75" hidden="1" outlineLevel="1">
      <c r="A60" s="60"/>
      <c r="B60" s="61"/>
      <c r="C60" s="64"/>
      <c r="D60" s="63"/>
      <c r="E60" s="52"/>
      <c r="F60" s="33"/>
      <c r="G60" s="34"/>
      <c r="H60" s="39"/>
      <c r="I60" s="39"/>
      <c r="J60" s="36"/>
      <c r="K60" s="37"/>
      <c r="L60" s="31"/>
      <c r="M60" s="33"/>
      <c r="N60" s="34"/>
      <c r="O60" s="36"/>
      <c r="P60" s="37"/>
      <c r="Q60" s="54"/>
      <c r="S60" s="110"/>
      <c r="T60" s="114"/>
      <c r="U60" s="12"/>
      <c r="V60" s="12"/>
      <c r="W60" s="19"/>
      <c r="X60" s="111"/>
    </row>
    <row r="61" spans="1:24" ht="12.75" hidden="1" outlineLevel="1">
      <c r="A61" s="60"/>
      <c r="B61" s="61"/>
      <c r="C61" s="64"/>
      <c r="D61" s="63"/>
      <c r="E61" s="38" t="s">
        <v>362</v>
      </c>
      <c r="F61" s="33">
        <v>10</v>
      </c>
      <c r="G61" s="34" t="s">
        <v>363</v>
      </c>
      <c r="H61" s="39"/>
      <c r="I61" s="39"/>
      <c r="J61" s="36">
        <f>SUM(K55:K59)</f>
        <v>127.08000000000004</v>
      </c>
      <c r="K61" s="37">
        <f>+J61*F61%</f>
        <v>12.708000000000006</v>
      </c>
      <c r="L61" s="31"/>
      <c r="M61" s="33"/>
      <c r="N61" s="34"/>
      <c r="O61" s="36"/>
      <c r="P61" s="37"/>
      <c r="Q61" s="54"/>
      <c r="S61" s="110"/>
      <c r="T61" s="114"/>
      <c r="U61" s="12"/>
      <c r="V61" s="12"/>
      <c r="W61" s="19"/>
      <c r="X61" s="111"/>
    </row>
    <row r="62" spans="1:24" ht="12.75" hidden="1" outlineLevel="1">
      <c r="A62" s="60"/>
      <c r="B62" s="61"/>
      <c r="C62" s="64"/>
      <c r="D62" s="63"/>
      <c r="E62" s="38"/>
      <c r="F62" s="33"/>
      <c r="G62" s="34"/>
      <c r="H62" s="39"/>
      <c r="I62" s="39"/>
      <c r="J62" s="36">
        <f t="shared" si="6"/>
      </c>
      <c r="K62" s="37">
        <f>+IF(F62="item",J62,IF(F62&lt;&gt;0,F62*J62,""))</f>
      </c>
      <c r="L62" s="31"/>
      <c r="M62" s="33"/>
      <c r="N62" s="34"/>
      <c r="O62" s="36"/>
      <c r="P62" s="37">
        <f t="shared" si="7"/>
      </c>
      <c r="Q62" s="54"/>
      <c r="S62" s="110"/>
      <c r="T62" s="114"/>
      <c r="U62" s="12"/>
      <c r="V62" s="12"/>
      <c r="W62" s="19"/>
      <c r="X62" s="111"/>
    </row>
    <row r="63" spans="1:24" ht="12.75" collapsed="1">
      <c r="A63" s="60"/>
      <c r="B63" s="61"/>
      <c r="C63" s="64"/>
      <c r="D63" s="63"/>
      <c r="E63" s="38"/>
      <c r="F63" s="33"/>
      <c r="G63" s="34"/>
      <c r="H63" s="39"/>
      <c r="I63" s="39"/>
      <c r="J63" s="36">
        <f t="shared" si="6"/>
      </c>
      <c r="K63" s="37">
        <f>+IF(F63="item",J63,IF(F63&lt;&gt;0,F63*J63,""))</f>
      </c>
      <c r="L63" s="31"/>
      <c r="M63" s="33"/>
      <c r="N63" s="34"/>
      <c r="O63" s="36"/>
      <c r="P63" s="37">
        <f t="shared" si="7"/>
      </c>
      <c r="Q63" s="54"/>
      <c r="S63" s="110"/>
      <c r="T63" s="12"/>
      <c r="U63" s="12"/>
      <c r="V63" s="12"/>
      <c r="W63" s="19"/>
      <c r="X63" s="111"/>
    </row>
    <row r="64" spans="1:24" ht="39" customHeight="1">
      <c r="A64" s="60"/>
      <c r="B64" s="61"/>
      <c r="C64" s="64"/>
      <c r="D64" s="63"/>
      <c r="E64" s="32" t="s">
        <v>87</v>
      </c>
      <c r="F64" s="33"/>
      <c r="G64" s="34"/>
      <c r="H64" s="39"/>
      <c r="I64" s="39"/>
      <c r="J64" s="36">
        <f t="shared" si="6"/>
      </c>
      <c r="K64" s="53">
        <f>SUM(K66:K74)</f>
        <v>2016.9428125</v>
      </c>
      <c r="L64" s="31" t="s">
        <v>54</v>
      </c>
      <c r="M64" s="72"/>
      <c r="N64" s="73"/>
      <c r="O64" s="74"/>
      <c r="P64" s="75">
        <f t="shared" si="7"/>
      </c>
      <c r="Q64" s="76"/>
      <c r="S64" s="110"/>
      <c r="T64" s="12"/>
      <c r="U64" s="12"/>
      <c r="V64" s="12"/>
      <c r="W64" s="112">
        <f>SUM(W65:W74)</f>
        <v>57.019999999999996</v>
      </c>
      <c r="X64" s="111"/>
    </row>
    <row r="65" spans="1:24" ht="12.75" hidden="1" outlineLevel="1">
      <c r="A65" s="60"/>
      <c r="B65" s="61"/>
      <c r="C65" s="64"/>
      <c r="D65" s="63"/>
      <c r="E65" s="38"/>
      <c r="F65" s="33"/>
      <c r="G65" s="34"/>
      <c r="H65" s="39"/>
      <c r="I65" s="39"/>
      <c r="J65" s="36">
        <f t="shared" si="6"/>
      </c>
      <c r="K65" s="37">
        <f aca="true" t="shared" si="8" ref="K65:K76">+IF(F65="item",J65,IF(F65&lt;&gt;0,F65*J65,""))</f>
      </c>
      <c r="L65" s="31"/>
      <c r="M65" s="72"/>
      <c r="N65" s="73"/>
      <c r="O65" s="74"/>
      <c r="P65" s="75">
        <f t="shared" si="7"/>
      </c>
      <c r="Q65" s="76"/>
      <c r="S65" s="113" t="s">
        <v>257</v>
      </c>
      <c r="T65" s="12"/>
      <c r="U65" s="12"/>
      <c r="V65" s="12"/>
      <c r="W65" s="19"/>
      <c r="X65" s="111"/>
    </row>
    <row r="66" spans="1:24" ht="12.75" hidden="1" outlineLevel="1">
      <c r="A66" s="60"/>
      <c r="B66" s="61"/>
      <c r="C66" s="64"/>
      <c r="D66" s="65"/>
      <c r="E66" s="38" t="s">
        <v>51</v>
      </c>
      <c r="F66" s="33">
        <v>1</v>
      </c>
      <c r="G66" s="34" t="s">
        <v>8</v>
      </c>
      <c r="H66" s="39">
        <v>3</v>
      </c>
      <c r="I66" s="39">
        <f>prog</f>
        <v>73.70812499999998</v>
      </c>
      <c r="J66" s="36">
        <f t="shared" si="6"/>
        <v>163.708125</v>
      </c>
      <c r="K66" s="37">
        <f t="shared" si="8"/>
        <v>163.708125</v>
      </c>
      <c r="L66" s="31" t="s">
        <v>258</v>
      </c>
      <c r="M66" s="72"/>
      <c r="N66" s="73"/>
      <c r="O66" s="74"/>
      <c r="P66" s="75">
        <f t="shared" si="7"/>
      </c>
      <c r="Q66" s="76"/>
      <c r="S66" s="110" t="str">
        <f>+E66</f>
        <v>Two zone heating controller</v>
      </c>
      <c r="T66" s="114">
        <f>+K66</f>
        <v>163.708125</v>
      </c>
      <c r="U66" s="12"/>
      <c r="V66" s="12">
        <v>20</v>
      </c>
      <c r="W66" s="19">
        <f>ROUND(+IF(V66&gt;0,T66/V66,""),2)</f>
        <v>8.19</v>
      </c>
      <c r="X66" s="111"/>
    </row>
    <row r="67" spans="1:24" ht="12.75" hidden="1" outlineLevel="1">
      <c r="A67" s="60"/>
      <c r="B67" s="61"/>
      <c r="C67" s="64"/>
      <c r="D67" s="63"/>
      <c r="E67" s="38"/>
      <c r="F67" s="33"/>
      <c r="G67" s="34"/>
      <c r="H67" s="39"/>
      <c r="I67" s="39"/>
      <c r="J67" s="36">
        <f t="shared" si="6"/>
      </c>
      <c r="K67" s="37">
        <f t="shared" si="8"/>
      </c>
      <c r="L67" s="31"/>
      <c r="M67" s="72"/>
      <c r="N67" s="73"/>
      <c r="O67" s="74"/>
      <c r="P67" s="75">
        <f t="shared" si="7"/>
      </c>
      <c r="Q67" s="76"/>
      <c r="S67" s="110"/>
      <c r="T67" s="12"/>
      <c r="U67" s="12"/>
      <c r="V67" s="12"/>
      <c r="W67" s="19"/>
      <c r="X67" s="111"/>
    </row>
    <row r="68" spans="1:24" ht="12.75" hidden="1" outlineLevel="1">
      <c r="A68" s="60"/>
      <c r="B68" s="61"/>
      <c r="C68" s="64"/>
      <c r="D68" s="63"/>
      <c r="E68" s="38" t="s">
        <v>52</v>
      </c>
      <c r="F68" s="33">
        <v>9</v>
      </c>
      <c r="G68" s="34" t="s">
        <v>8</v>
      </c>
      <c r="H68" s="39">
        <v>0.5</v>
      </c>
      <c r="I68" s="39">
        <f>TRV</f>
        <v>11.66125</v>
      </c>
      <c r="J68" s="36">
        <f t="shared" si="6"/>
        <v>26.661250000000003</v>
      </c>
      <c r="K68" s="37">
        <f t="shared" si="8"/>
        <v>239.95125000000002</v>
      </c>
      <c r="L68" s="31"/>
      <c r="M68" s="72"/>
      <c r="N68" s="73"/>
      <c r="O68" s="74"/>
      <c r="P68" s="75">
        <f t="shared" si="7"/>
      </c>
      <c r="Q68" s="76"/>
      <c r="S68" s="110" t="str">
        <f>+E68</f>
        <v>Thermostatic radiator valves</v>
      </c>
      <c r="T68" s="114">
        <f>+K68</f>
        <v>239.95125000000002</v>
      </c>
      <c r="U68" s="12"/>
      <c r="V68" s="12">
        <v>10</v>
      </c>
      <c r="W68" s="19">
        <f>ROUND(+IF(V68&gt;0,T68/V68,""),2)</f>
        <v>24</v>
      </c>
      <c r="X68" s="111"/>
    </row>
    <row r="69" spans="1:24" ht="12.75" hidden="1" outlineLevel="1">
      <c r="A69" s="60"/>
      <c r="B69" s="61"/>
      <c r="C69" s="64"/>
      <c r="D69" s="63"/>
      <c r="E69" s="38"/>
      <c r="F69" s="33"/>
      <c r="G69" s="34"/>
      <c r="H69" s="39"/>
      <c r="I69" s="39"/>
      <c r="J69" s="36">
        <f t="shared" si="6"/>
      </c>
      <c r="K69" s="37">
        <f t="shared" si="8"/>
      </c>
      <c r="L69" s="31"/>
      <c r="M69" s="72"/>
      <c r="N69" s="73"/>
      <c r="O69" s="74"/>
      <c r="P69" s="75">
        <f t="shared" si="7"/>
      </c>
      <c r="Q69" s="76"/>
      <c r="S69" s="110"/>
      <c r="T69" s="12"/>
      <c r="U69" s="12"/>
      <c r="V69" s="12"/>
      <c r="W69" s="19"/>
      <c r="X69" s="111"/>
    </row>
    <row r="70" spans="1:24" ht="12.75" hidden="1" outlineLevel="1">
      <c r="A70" s="60"/>
      <c r="B70" s="61"/>
      <c r="C70" s="64"/>
      <c r="D70" s="63"/>
      <c r="E70" s="38" t="s">
        <v>53</v>
      </c>
      <c r="F70" s="33">
        <v>1</v>
      </c>
      <c r="G70" s="34" t="s">
        <v>8</v>
      </c>
      <c r="H70" s="39">
        <v>0.5</v>
      </c>
      <c r="I70" s="39">
        <f>tankstat</f>
        <v>14.924999999999999</v>
      </c>
      <c r="J70" s="36">
        <f t="shared" si="6"/>
        <v>29.924999999999997</v>
      </c>
      <c r="K70" s="37">
        <f t="shared" si="8"/>
        <v>29.924999999999997</v>
      </c>
      <c r="L70" s="31"/>
      <c r="M70" s="72"/>
      <c r="N70" s="73"/>
      <c r="O70" s="74"/>
      <c r="P70" s="75">
        <f t="shared" si="7"/>
      </c>
      <c r="Q70" s="76"/>
      <c r="S70" s="110" t="str">
        <f>+E70</f>
        <v>Thermostatic control to hot water tank</v>
      </c>
      <c r="T70" s="114">
        <f>+K70</f>
        <v>29.924999999999997</v>
      </c>
      <c r="U70" s="12"/>
      <c r="V70" s="12">
        <v>20</v>
      </c>
      <c r="W70" s="19">
        <f>ROUND(+IF(V70&gt;0,T70/V70,""),2)</f>
        <v>1.5</v>
      </c>
      <c r="X70" s="111"/>
    </row>
    <row r="71" spans="1:24" ht="12.75" hidden="1" outlineLevel="1">
      <c r="A71" s="60"/>
      <c r="B71" s="61"/>
      <c r="C71" s="64"/>
      <c r="D71" s="63"/>
      <c r="E71" s="38"/>
      <c r="F71" s="33"/>
      <c r="G71" s="34"/>
      <c r="H71" s="39"/>
      <c r="I71" s="39"/>
      <c r="J71" s="36">
        <f t="shared" si="6"/>
      </c>
      <c r="K71" s="37">
        <f t="shared" si="8"/>
      </c>
      <c r="L71" s="31"/>
      <c r="M71" s="72"/>
      <c r="N71" s="73"/>
      <c r="O71" s="74"/>
      <c r="P71" s="75">
        <f t="shared" si="7"/>
      </c>
      <c r="Q71" s="76"/>
      <c r="S71" s="110"/>
      <c r="T71" s="12"/>
      <c r="U71" s="12"/>
      <c r="V71" s="12"/>
      <c r="W71" s="19"/>
      <c r="X71" s="111"/>
    </row>
    <row r="72" spans="1:24" ht="25.5" hidden="1" outlineLevel="1">
      <c r="A72" s="60"/>
      <c r="B72" s="61"/>
      <c r="C72" s="64"/>
      <c r="D72" s="63"/>
      <c r="E72" s="38" t="s">
        <v>259</v>
      </c>
      <c r="F72" s="33" t="s">
        <v>1</v>
      </c>
      <c r="G72" s="34"/>
      <c r="H72" s="39">
        <v>40</v>
      </c>
      <c r="I72" s="39">
        <v>200</v>
      </c>
      <c r="J72" s="36">
        <f t="shared" si="6"/>
        <v>1400</v>
      </c>
      <c r="K72" s="37">
        <f t="shared" si="8"/>
        <v>1400</v>
      </c>
      <c r="L72" s="31" t="s">
        <v>260</v>
      </c>
      <c r="M72" s="72"/>
      <c r="N72" s="73"/>
      <c r="O72" s="74"/>
      <c r="P72" s="75">
        <f t="shared" si="7"/>
      </c>
      <c r="Q72" s="76"/>
      <c r="S72" s="110" t="str">
        <f>+E72</f>
        <v>Conversion to two zone heating</v>
      </c>
      <c r="T72" s="114">
        <f>+K72</f>
        <v>1400</v>
      </c>
      <c r="U72" s="12"/>
      <c r="V72" s="12">
        <v>60</v>
      </c>
      <c r="W72" s="19">
        <f>ROUND(+IF(V72&gt;0,T72/V72,""),2)</f>
        <v>23.33</v>
      </c>
      <c r="X72" s="111"/>
    </row>
    <row r="73" spans="1:24" ht="12.75" hidden="1" outlineLevel="1">
      <c r="A73" s="60"/>
      <c r="B73" s="61"/>
      <c r="C73" s="64"/>
      <c r="D73" s="63"/>
      <c r="E73" s="38"/>
      <c r="F73" s="33"/>
      <c r="G73" s="34"/>
      <c r="H73" s="39"/>
      <c r="I73" s="39"/>
      <c r="J73" s="36"/>
      <c r="K73" s="37"/>
      <c r="L73" s="31"/>
      <c r="M73" s="72"/>
      <c r="N73" s="73"/>
      <c r="O73" s="74"/>
      <c r="P73" s="75"/>
      <c r="Q73" s="76"/>
      <c r="S73" s="110"/>
      <c r="T73" s="114"/>
      <c r="U73" s="12"/>
      <c r="V73" s="12"/>
      <c r="W73" s="19"/>
      <c r="X73" s="111"/>
    </row>
    <row r="74" spans="1:24" ht="12.75" hidden="1" outlineLevel="1">
      <c r="A74" s="60"/>
      <c r="B74" s="61"/>
      <c r="C74" s="64"/>
      <c r="D74" s="63"/>
      <c r="E74" s="38" t="s">
        <v>362</v>
      </c>
      <c r="F74" s="33">
        <v>10</v>
      </c>
      <c r="G74" s="34" t="s">
        <v>363</v>
      </c>
      <c r="H74" s="39"/>
      <c r="I74" s="39"/>
      <c r="J74" s="36">
        <f>SUM(K65:K73)</f>
        <v>1833.584375</v>
      </c>
      <c r="K74" s="37">
        <f>+J74*F74%</f>
        <v>183.3584375</v>
      </c>
      <c r="L74" s="31"/>
      <c r="M74" s="72"/>
      <c r="N74" s="73"/>
      <c r="O74" s="74"/>
      <c r="P74" s="75">
        <f t="shared" si="7"/>
      </c>
      <c r="Q74" s="76"/>
      <c r="S74" s="110"/>
      <c r="T74" s="12"/>
      <c r="U74" s="12"/>
      <c r="V74" s="12"/>
      <c r="W74" s="19"/>
      <c r="X74" s="111"/>
    </row>
    <row r="75" spans="1:24" ht="12.75" collapsed="1">
      <c r="A75" s="60"/>
      <c r="B75" s="61"/>
      <c r="C75" s="64"/>
      <c r="D75" s="63"/>
      <c r="E75" s="38"/>
      <c r="F75" s="33"/>
      <c r="G75" s="34"/>
      <c r="H75" s="39"/>
      <c r="I75" s="39"/>
      <c r="J75" s="36">
        <f t="shared" si="6"/>
      </c>
      <c r="K75" s="37">
        <f t="shared" si="8"/>
      </c>
      <c r="L75" s="31"/>
      <c r="M75" s="33"/>
      <c r="N75" s="34"/>
      <c r="O75" s="36"/>
      <c r="P75" s="37">
        <f t="shared" si="7"/>
      </c>
      <c r="Q75" s="54"/>
      <c r="S75" s="110"/>
      <c r="T75" s="12"/>
      <c r="U75" s="12"/>
      <c r="V75" s="12"/>
      <c r="W75" s="19"/>
      <c r="X75" s="111"/>
    </row>
    <row r="76" spans="1:24" ht="12.75">
      <c r="A76" s="60"/>
      <c r="B76" s="61"/>
      <c r="C76" s="64"/>
      <c r="D76" s="63"/>
      <c r="E76" s="38"/>
      <c r="F76" s="33"/>
      <c r="G76" s="34"/>
      <c r="H76" s="39"/>
      <c r="I76" s="39"/>
      <c r="J76" s="36">
        <f t="shared" si="6"/>
      </c>
      <c r="K76" s="37">
        <f t="shared" si="8"/>
      </c>
      <c r="L76" s="31"/>
      <c r="M76" s="33"/>
      <c r="N76" s="34"/>
      <c r="O76" s="36"/>
      <c r="P76" s="37">
        <f t="shared" si="7"/>
      </c>
      <c r="Q76" s="54"/>
      <c r="S76" s="110"/>
      <c r="T76" s="12"/>
      <c r="U76" s="12"/>
      <c r="V76" s="12"/>
      <c r="W76" s="19"/>
      <c r="X76" s="111"/>
    </row>
    <row r="77" spans="1:24" ht="12.75">
      <c r="A77" s="60"/>
      <c r="B77" s="61"/>
      <c r="C77" s="64"/>
      <c r="D77" s="63"/>
      <c r="E77" s="32" t="s">
        <v>88</v>
      </c>
      <c r="F77" s="33"/>
      <c r="G77" s="34"/>
      <c r="H77" s="39"/>
      <c r="I77" s="39"/>
      <c r="J77" s="36">
        <f t="shared" si="6"/>
      </c>
      <c r="K77" s="53">
        <f>SUM(K78:K81)</f>
        <v>1452</v>
      </c>
      <c r="L77" s="31"/>
      <c r="M77" s="33"/>
      <c r="N77" s="34"/>
      <c r="O77" s="36"/>
      <c r="P77" s="53">
        <f>SUM(P78:P79)</f>
        <v>660</v>
      </c>
      <c r="Q77" s="54"/>
      <c r="S77" s="113" t="s">
        <v>257</v>
      </c>
      <c r="T77" s="12"/>
      <c r="U77" s="12"/>
      <c r="V77" s="12"/>
      <c r="W77" s="19">
        <f>SUM(W78:W79)</f>
        <v>132</v>
      </c>
      <c r="X77" s="111"/>
    </row>
    <row r="78" spans="1:24" ht="12.75" hidden="1" outlineLevel="1">
      <c r="A78" s="60"/>
      <c r="B78" s="61"/>
      <c r="C78" s="64"/>
      <c r="D78" s="63"/>
      <c r="E78" s="38"/>
      <c r="F78" s="33"/>
      <c r="G78" s="34"/>
      <c r="H78" s="39"/>
      <c r="I78" s="39"/>
      <c r="J78" s="36">
        <f t="shared" si="6"/>
      </c>
      <c r="K78" s="37">
        <f>+IF(F78="item",J78,IF(F78&lt;&gt;0,F78*J78,""))</f>
      </c>
      <c r="L78" s="31"/>
      <c r="M78" s="33"/>
      <c r="N78" s="34"/>
      <c r="O78" s="36"/>
      <c r="P78" s="37">
        <f aca="true" t="shared" si="9" ref="P78:P86">+IF(M78="item",O78,IF(M78&lt;&gt;0,M78*O78,""))</f>
      </c>
      <c r="Q78" s="54"/>
      <c r="S78" s="110"/>
      <c r="T78" s="12"/>
      <c r="U78" s="12"/>
      <c r="V78" s="12"/>
      <c r="W78" s="19"/>
      <c r="X78" s="111"/>
    </row>
    <row r="79" spans="1:24" ht="25.5" customHeight="1" hidden="1" outlineLevel="1">
      <c r="A79" s="60"/>
      <c r="B79" s="61"/>
      <c r="C79" s="64"/>
      <c r="D79" s="63"/>
      <c r="E79" s="38" t="s">
        <v>57</v>
      </c>
      <c r="F79" s="33">
        <f>+F41</f>
        <v>22</v>
      </c>
      <c r="G79" s="34" t="s">
        <v>8</v>
      </c>
      <c r="H79" s="39"/>
      <c r="I79" s="39"/>
      <c r="J79" s="36">
        <v>60</v>
      </c>
      <c r="K79" s="37">
        <f>+IF(F79="item",J79,IF(F79&lt;&gt;0,F79*J79,""))</f>
        <v>1320</v>
      </c>
      <c r="L79" s="70" t="s">
        <v>58</v>
      </c>
      <c r="M79" s="33">
        <f>+F79</f>
        <v>22</v>
      </c>
      <c r="N79" s="34" t="s">
        <v>8</v>
      </c>
      <c r="O79" s="36">
        <v>30</v>
      </c>
      <c r="P79" s="37">
        <f t="shared" si="9"/>
        <v>660</v>
      </c>
      <c r="Q79" s="97" t="s">
        <v>58</v>
      </c>
      <c r="S79" s="110" t="str">
        <f>+E79</f>
        <v>Heavy weight thermal linings to existing curtains</v>
      </c>
      <c r="T79" s="114">
        <f>+K79</f>
        <v>1320</v>
      </c>
      <c r="U79" s="12"/>
      <c r="V79" s="12">
        <v>10</v>
      </c>
      <c r="W79" s="19">
        <f>ROUND(+IF(V79&gt;0,T79/V79,""),2)</f>
        <v>132</v>
      </c>
      <c r="X79" s="111"/>
    </row>
    <row r="80" spans="1:24" ht="12.75" hidden="1" outlineLevel="1">
      <c r="A80" s="60"/>
      <c r="B80" s="61"/>
      <c r="C80" s="64"/>
      <c r="D80" s="63"/>
      <c r="E80" s="38"/>
      <c r="F80" s="33"/>
      <c r="G80" s="34"/>
      <c r="H80" s="39"/>
      <c r="I80" s="39"/>
      <c r="J80" s="36"/>
      <c r="K80" s="37"/>
      <c r="L80" s="70"/>
      <c r="M80" s="33"/>
      <c r="N80" s="34"/>
      <c r="O80" s="36"/>
      <c r="P80" s="37"/>
      <c r="Q80" s="97"/>
      <c r="S80" s="110"/>
      <c r="T80" s="114"/>
      <c r="U80" s="12"/>
      <c r="V80" s="12"/>
      <c r="W80" s="19"/>
      <c r="X80" s="111"/>
    </row>
    <row r="81" spans="1:24" ht="12.75" hidden="1" outlineLevel="1">
      <c r="A81" s="60"/>
      <c r="B81" s="61"/>
      <c r="C81" s="64"/>
      <c r="D81" s="63"/>
      <c r="E81" s="38" t="s">
        <v>362</v>
      </c>
      <c r="F81" s="33">
        <v>10</v>
      </c>
      <c r="G81" s="34" t="s">
        <v>363</v>
      </c>
      <c r="H81" s="39"/>
      <c r="I81" s="39"/>
      <c r="J81" s="36">
        <f>SUM(K79:K80)</f>
        <v>1320</v>
      </c>
      <c r="K81" s="37">
        <f>+J81*F81%</f>
        <v>132</v>
      </c>
      <c r="L81" s="70"/>
      <c r="M81" s="33"/>
      <c r="N81" s="34"/>
      <c r="O81" s="36"/>
      <c r="P81" s="37"/>
      <c r="Q81" s="97"/>
      <c r="S81" s="110"/>
      <c r="T81" s="114"/>
      <c r="U81" s="12"/>
      <c r="V81" s="12"/>
      <c r="W81" s="19"/>
      <c r="X81" s="111"/>
    </row>
    <row r="82" spans="1:24" ht="12.75" collapsed="1">
      <c r="A82" s="60"/>
      <c r="B82" s="61"/>
      <c r="C82" s="64"/>
      <c r="D82" s="63"/>
      <c r="E82" s="38"/>
      <c r="F82" s="33"/>
      <c r="G82" s="34"/>
      <c r="H82" s="39"/>
      <c r="I82" s="39"/>
      <c r="J82" s="36">
        <f>IF(+I82+H82&gt;0,I82+(H82*labour),"")</f>
      </c>
      <c r="K82" s="37">
        <f>+IF(F82="item",J82,IF(F82&lt;&gt;0,F82*J82,""))</f>
      </c>
      <c r="L82" s="31"/>
      <c r="M82" s="33"/>
      <c r="N82" s="34"/>
      <c r="O82" s="36"/>
      <c r="P82" s="37">
        <f t="shared" si="9"/>
      </c>
      <c r="Q82" s="54"/>
      <c r="S82" s="110"/>
      <c r="T82" s="12"/>
      <c r="U82" s="12"/>
      <c r="V82" s="12"/>
      <c r="W82" s="19"/>
      <c r="X82" s="111"/>
    </row>
    <row r="83" spans="1:24" ht="12.75">
      <c r="A83" s="60"/>
      <c r="B83" s="61"/>
      <c r="C83" s="64"/>
      <c r="D83" s="63"/>
      <c r="E83" s="38"/>
      <c r="F83" s="33"/>
      <c r="G83" s="34"/>
      <c r="H83" s="39"/>
      <c r="I83" s="39"/>
      <c r="J83" s="36">
        <f>IF(+I83+H83&gt;0,I83+(H83*labour),"")</f>
      </c>
      <c r="K83" s="37">
        <f>+IF(F83="item",J83,IF(F83&lt;&gt;0,F83*J83,""))</f>
      </c>
      <c r="L83" s="31"/>
      <c r="M83" s="33"/>
      <c r="N83" s="34"/>
      <c r="O83" s="36"/>
      <c r="P83" s="37">
        <f t="shared" si="9"/>
      </c>
      <c r="Q83" s="54"/>
      <c r="S83" s="110"/>
      <c r="T83" s="12"/>
      <c r="U83" s="12"/>
      <c r="V83" s="12"/>
      <c r="W83" s="19"/>
      <c r="X83" s="111"/>
    </row>
    <row r="84" spans="1:24" ht="25.5">
      <c r="A84" s="60"/>
      <c r="B84" s="61"/>
      <c r="C84" s="64"/>
      <c r="D84" s="63"/>
      <c r="E84" s="32" t="s">
        <v>89</v>
      </c>
      <c r="F84" s="33"/>
      <c r="G84" s="34"/>
      <c r="H84" s="39"/>
      <c r="I84" s="39"/>
      <c r="J84" s="36">
        <f>IF(+I84+H84&gt;0,I84+(H84*labour),"")</f>
      </c>
      <c r="K84" s="53">
        <f>SUM(K85:K114)</f>
        <v>757.8119999999999</v>
      </c>
      <c r="L84" s="31" t="s">
        <v>64</v>
      </c>
      <c r="M84" s="72"/>
      <c r="N84" s="73"/>
      <c r="O84" s="74"/>
      <c r="P84" s="75">
        <f t="shared" si="9"/>
      </c>
      <c r="Q84" s="76"/>
      <c r="S84" s="113" t="s">
        <v>257</v>
      </c>
      <c r="T84" s="12"/>
      <c r="U84" s="12"/>
      <c r="V84" s="12"/>
      <c r="W84" s="112">
        <f>SUM(W86:W115)</f>
        <v>45.93</v>
      </c>
      <c r="X84" s="111"/>
    </row>
    <row r="85" spans="1:24" ht="12.75" hidden="1" outlineLevel="1">
      <c r="A85" s="60"/>
      <c r="B85" s="61"/>
      <c r="C85" s="64"/>
      <c r="D85" s="65"/>
      <c r="E85" s="38"/>
      <c r="F85" s="33"/>
      <c r="G85" s="34"/>
      <c r="H85" s="39"/>
      <c r="I85" s="39"/>
      <c r="J85" s="36">
        <f>IF(+I85+H85&gt;0,I85+(H85*labour),"")</f>
      </c>
      <c r="K85" s="37">
        <f>+IF(F85="item",J85,IF(F85&lt;&gt;0,F85*J85,""))</f>
      </c>
      <c r="L85" s="31"/>
      <c r="M85" s="72"/>
      <c r="N85" s="73"/>
      <c r="O85" s="74"/>
      <c r="P85" s="75">
        <f t="shared" si="9"/>
      </c>
      <c r="Q85" s="76"/>
      <c r="S85" s="110"/>
      <c r="T85" s="12"/>
      <c r="U85" s="12"/>
      <c r="V85" s="12"/>
      <c r="W85" s="19"/>
      <c r="X85" s="111"/>
    </row>
    <row r="86" spans="1:24" ht="12.75" hidden="1" outlineLevel="1">
      <c r="A86" s="60"/>
      <c r="B86" s="61"/>
      <c r="C86" s="64"/>
      <c r="D86" s="63"/>
      <c r="E86" s="38" t="s">
        <v>60</v>
      </c>
      <c r="F86" s="33">
        <f>ROUND(D94,0)</f>
        <v>65</v>
      </c>
      <c r="G86" s="34" t="s">
        <v>35</v>
      </c>
      <c r="H86" s="39">
        <v>0.2</v>
      </c>
      <c r="I86" s="39"/>
      <c r="J86" s="36">
        <f>IF(+I86+H86&gt;0,I86+(H86*labour),"")</f>
        <v>6</v>
      </c>
      <c r="K86" s="37">
        <f>+IF(F86="item",J86,IF(F86&lt;&gt;0,F86*J86,""))</f>
        <v>390</v>
      </c>
      <c r="L86" s="31" t="s">
        <v>59</v>
      </c>
      <c r="M86" s="72"/>
      <c r="N86" s="73"/>
      <c r="O86" s="74"/>
      <c r="P86" s="75">
        <f t="shared" si="9"/>
      </c>
      <c r="Q86" s="76"/>
      <c r="S86" s="110" t="str">
        <f>+E86</f>
        <v>Lifting/ relaying existing carpet</v>
      </c>
      <c r="T86" s="114">
        <f>+K86</f>
        <v>390</v>
      </c>
      <c r="U86" s="12"/>
      <c r="V86" s="12">
        <v>15</v>
      </c>
      <c r="W86" s="19">
        <f>ROUND(+IF(V86&gt;0,T86/V86,""),2)</f>
        <v>26</v>
      </c>
      <c r="X86" s="111"/>
    </row>
    <row r="87" spans="1:24" ht="12.75" hidden="1" outlineLevel="1">
      <c r="A87" s="60"/>
      <c r="B87" s="61"/>
      <c r="C87" s="64">
        <v>7</v>
      </c>
      <c r="D87" s="63"/>
      <c r="E87" s="38"/>
      <c r="F87" s="33"/>
      <c r="G87" s="34"/>
      <c r="H87" s="39"/>
      <c r="I87" s="39"/>
      <c r="J87" s="36"/>
      <c r="K87" s="37"/>
      <c r="L87" s="31"/>
      <c r="M87" s="72"/>
      <c r="N87" s="73"/>
      <c r="O87" s="74"/>
      <c r="P87" s="75"/>
      <c r="Q87" s="76"/>
      <c r="S87" s="110"/>
      <c r="T87" s="114"/>
      <c r="U87" s="12"/>
      <c r="V87" s="12"/>
      <c r="W87" s="19"/>
      <c r="X87" s="111"/>
    </row>
    <row r="88" spans="1:24" ht="12.75" hidden="1" outlineLevel="1">
      <c r="A88" s="60"/>
      <c r="B88" s="61"/>
      <c r="C88" s="135">
        <v>6.8</v>
      </c>
      <c r="D88" s="63">
        <f>+C87*C88</f>
        <v>47.6</v>
      </c>
      <c r="E88" s="38"/>
      <c r="F88" s="33"/>
      <c r="G88" s="34"/>
      <c r="H88" s="39"/>
      <c r="I88" s="39"/>
      <c r="J88" s="36"/>
      <c r="K88" s="37"/>
      <c r="L88" s="31"/>
      <c r="M88" s="72"/>
      <c r="N88" s="73"/>
      <c r="O88" s="74"/>
      <c r="P88" s="75"/>
      <c r="Q88" s="76"/>
      <c r="S88" s="110"/>
      <c r="T88" s="114"/>
      <c r="U88" s="12"/>
      <c r="V88" s="12"/>
      <c r="W88" s="19"/>
      <c r="X88" s="111"/>
    </row>
    <row r="89" spans="1:24" ht="12.75" hidden="1" outlineLevel="1">
      <c r="A89" s="60"/>
      <c r="B89" s="61">
        <v>2</v>
      </c>
      <c r="C89" s="64">
        <v>1.8</v>
      </c>
      <c r="D89" s="63"/>
      <c r="E89" s="38"/>
      <c r="F89" s="33"/>
      <c r="G89" s="34"/>
      <c r="H89" s="39"/>
      <c r="I89" s="39"/>
      <c r="J89" s="36"/>
      <c r="K89" s="37"/>
      <c r="L89" s="31"/>
      <c r="M89" s="72"/>
      <c r="N89" s="73"/>
      <c r="O89" s="74"/>
      <c r="P89" s="75"/>
      <c r="Q89" s="76"/>
      <c r="S89" s="110"/>
      <c r="T89" s="114"/>
      <c r="U89" s="12"/>
      <c r="V89" s="12"/>
      <c r="W89" s="19"/>
      <c r="X89" s="111"/>
    </row>
    <row r="90" spans="1:24" ht="12.75" hidden="1" outlineLevel="1">
      <c r="A90" s="60"/>
      <c r="B90" s="61"/>
      <c r="C90" s="135">
        <v>0.8</v>
      </c>
      <c r="D90" s="63">
        <f>+C89*C90*B89</f>
        <v>2.8800000000000003</v>
      </c>
      <c r="E90" s="38"/>
      <c r="F90" s="33"/>
      <c r="G90" s="34"/>
      <c r="H90" s="39"/>
      <c r="I90" s="39"/>
      <c r="J90" s="36"/>
      <c r="K90" s="37"/>
      <c r="L90" s="31"/>
      <c r="M90" s="72"/>
      <c r="N90" s="73"/>
      <c r="O90" s="74"/>
      <c r="P90" s="75"/>
      <c r="Q90" s="76"/>
      <c r="S90" s="110"/>
      <c r="T90" s="114"/>
      <c r="U90" s="12"/>
      <c r="V90" s="12"/>
      <c r="W90" s="19"/>
      <c r="X90" s="111"/>
    </row>
    <row r="91" spans="1:24" ht="12.75" hidden="1" outlineLevel="1">
      <c r="A91" s="60"/>
      <c r="B91" s="61"/>
      <c r="C91" s="64">
        <v>3.8</v>
      </c>
      <c r="D91" s="63"/>
      <c r="E91" s="38"/>
      <c r="F91" s="33"/>
      <c r="G91" s="34"/>
      <c r="H91" s="39"/>
      <c r="I91" s="39"/>
      <c r="J91" s="36"/>
      <c r="K91" s="37"/>
      <c r="L91" s="31"/>
      <c r="M91" s="72"/>
      <c r="N91" s="73"/>
      <c r="O91" s="74"/>
      <c r="P91" s="75"/>
      <c r="Q91" s="76"/>
      <c r="S91" s="110"/>
      <c r="T91" s="114"/>
      <c r="U91" s="12"/>
      <c r="V91" s="12"/>
      <c r="W91" s="19"/>
      <c r="X91" s="111"/>
    </row>
    <row r="92" spans="1:24" ht="12.75" hidden="1" outlineLevel="1">
      <c r="A92" s="60"/>
      <c r="B92" s="61"/>
      <c r="C92" s="135">
        <v>3.9</v>
      </c>
      <c r="D92" s="63">
        <f>+C91*C92</f>
        <v>14.819999999999999</v>
      </c>
      <c r="E92" s="38"/>
      <c r="F92" s="33"/>
      <c r="G92" s="34"/>
      <c r="H92" s="39"/>
      <c r="I92" s="39"/>
      <c r="J92" s="36"/>
      <c r="K92" s="37"/>
      <c r="L92" s="31"/>
      <c r="M92" s="72"/>
      <c r="N92" s="73"/>
      <c r="O92" s="74"/>
      <c r="P92" s="75"/>
      <c r="Q92" s="76"/>
      <c r="S92" s="110"/>
      <c r="T92" s="114"/>
      <c r="U92" s="12"/>
      <c r="V92" s="12"/>
      <c r="W92" s="19"/>
      <c r="X92" s="111"/>
    </row>
    <row r="93" spans="1:24" ht="12.75" hidden="1" outlineLevel="1">
      <c r="A93" s="60"/>
      <c r="B93" s="61"/>
      <c r="C93" s="64"/>
      <c r="D93" s="63"/>
      <c r="E93" s="38"/>
      <c r="F93" s="33"/>
      <c r="G93" s="34"/>
      <c r="H93" s="39"/>
      <c r="I93" s="39"/>
      <c r="J93" s="36"/>
      <c r="K93" s="37"/>
      <c r="L93" s="31"/>
      <c r="M93" s="72"/>
      <c r="N93" s="73"/>
      <c r="O93" s="74"/>
      <c r="P93" s="75"/>
      <c r="Q93" s="76"/>
      <c r="S93" s="110"/>
      <c r="T93" s="114"/>
      <c r="U93" s="12"/>
      <c r="V93" s="12"/>
      <c r="W93" s="19"/>
      <c r="X93" s="111"/>
    </row>
    <row r="94" spans="1:24" ht="12.75" hidden="1" outlineLevel="1">
      <c r="A94" s="60"/>
      <c r="B94" s="61"/>
      <c r="C94" s="64"/>
      <c r="D94" s="65">
        <f>SUM(D87:D93)</f>
        <v>65.3</v>
      </c>
      <c r="E94" s="38"/>
      <c r="F94" s="33"/>
      <c r="G94" s="34"/>
      <c r="H94" s="39"/>
      <c r="I94" s="39"/>
      <c r="J94" s="36"/>
      <c r="K94" s="37"/>
      <c r="L94" s="31"/>
      <c r="M94" s="72"/>
      <c r="N94" s="73"/>
      <c r="O94" s="74"/>
      <c r="P94" s="75"/>
      <c r="Q94" s="76"/>
      <c r="S94" s="110"/>
      <c r="T94" s="114"/>
      <c r="U94" s="12"/>
      <c r="V94" s="12"/>
      <c r="W94" s="19"/>
      <c r="X94" s="111"/>
    </row>
    <row r="95" spans="1:24" ht="12.75" hidden="1" outlineLevel="1">
      <c r="A95" s="60"/>
      <c r="B95" s="61"/>
      <c r="C95" s="64"/>
      <c r="D95" s="63"/>
      <c r="E95" s="38"/>
      <c r="F95" s="33"/>
      <c r="G95" s="34"/>
      <c r="H95" s="39"/>
      <c r="I95" s="39"/>
      <c r="J95" s="36"/>
      <c r="K95" s="37"/>
      <c r="L95" s="31"/>
      <c r="M95" s="72"/>
      <c r="N95" s="73"/>
      <c r="O95" s="74"/>
      <c r="P95" s="75"/>
      <c r="Q95" s="76"/>
      <c r="S95" s="110"/>
      <c r="T95" s="114"/>
      <c r="U95" s="12"/>
      <c r="V95" s="12"/>
      <c r="W95" s="19"/>
      <c r="X95" s="111"/>
    </row>
    <row r="96" spans="1:24" ht="12.75" hidden="1" outlineLevel="1">
      <c r="A96" s="60"/>
      <c r="B96" s="61"/>
      <c r="C96" s="64"/>
      <c r="D96" s="63"/>
      <c r="E96" s="38"/>
      <c r="F96" s="33"/>
      <c r="G96" s="34"/>
      <c r="H96" s="39"/>
      <c r="I96" s="39"/>
      <c r="J96" s="36">
        <f>IF(+I96+H96&gt;0,I96+(H96*labour),"")</f>
      </c>
      <c r="K96" s="37">
        <f>+IF(F96="item",J96,IF(F96&lt;&gt;0,F96*J96,""))</f>
      </c>
      <c r="L96" s="31"/>
      <c r="M96" s="72"/>
      <c r="N96" s="73"/>
      <c r="O96" s="74"/>
      <c r="P96" s="75"/>
      <c r="Q96" s="76"/>
      <c r="S96" s="110"/>
      <c r="T96" s="12"/>
      <c r="U96" s="12"/>
      <c r="V96" s="12"/>
      <c r="W96" s="19"/>
      <c r="X96" s="111"/>
    </row>
    <row r="97" spans="1:24" ht="12.75" hidden="1" outlineLevel="1">
      <c r="A97" s="60"/>
      <c r="B97" s="61"/>
      <c r="C97" s="64"/>
      <c r="D97" s="63"/>
      <c r="E97" s="38" t="s">
        <v>132</v>
      </c>
      <c r="F97" s="33">
        <f>ROUND(D109,0)</f>
        <v>69</v>
      </c>
      <c r="G97" s="34" t="s">
        <v>108</v>
      </c>
      <c r="H97" s="39"/>
      <c r="I97" s="39">
        <v>0.5</v>
      </c>
      <c r="J97" s="36">
        <f>IF(+I97+H97&gt;0,I97+(H97*labour),"")</f>
        <v>0.5</v>
      </c>
      <c r="K97" s="37">
        <f>+IF(F97="item",J97,IF(F97&lt;&gt;0,F97*J97,""))</f>
        <v>34.5</v>
      </c>
      <c r="L97" s="31"/>
      <c r="M97" s="72"/>
      <c r="N97" s="73"/>
      <c r="O97" s="74"/>
      <c r="P97" s="75"/>
      <c r="Q97" s="76"/>
      <c r="S97" s="110" t="str">
        <f>+E97</f>
        <v>Grippers</v>
      </c>
      <c r="T97" s="114">
        <f>+K97</f>
        <v>34.5</v>
      </c>
      <c r="U97" s="12"/>
      <c r="V97" s="12">
        <v>15</v>
      </c>
      <c r="W97" s="19">
        <f>ROUND(+IF(V97&gt;0,T97/V97,""),2)</f>
        <v>2.3</v>
      </c>
      <c r="X97" s="111"/>
    </row>
    <row r="98" spans="1:24" ht="12.75" hidden="1" outlineLevel="1">
      <c r="A98" s="60"/>
      <c r="B98" s="61">
        <v>2</v>
      </c>
      <c r="C98" s="64">
        <v>4</v>
      </c>
      <c r="D98" s="63">
        <f>+C98*B98</f>
        <v>8</v>
      </c>
      <c r="E98" s="38"/>
      <c r="F98" s="33"/>
      <c r="G98" s="34"/>
      <c r="H98" s="39"/>
      <c r="I98" s="39"/>
      <c r="J98" s="36"/>
      <c r="K98" s="37"/>
      <c r="L98" s="31"/>
      <c r="M98" s="72"/>
      <c r="N98" s="73"/>
      <c r="O98" s="74"/>
      <c r="P98" s="75"/>
      <c r="Q98" s="76"/>
      <c r="S98" s="110"/>
      <c r="T98" s="114"/>
      <c r="U98" s="12"/>
      <c r="V98" s="12"/>
      <c r="W98" s="19"/>
      <c r="X98" s="111"/>
    </row>
    <row r="99" spans="1:24" ht="12.75" hidden="1" outlineLevel="1">
      <c r="A99" s="60"/>
      <c r="B99" s="61">
        <v>2</v>
      </c>
      <c r="C99" s="64">
        <v>3.8</v>
      </c>
      <c r="D99" s="63">
        <f aca="true" t="shared" si="10" ref="D99:D107">+C99*B99</f>
        <v>7.6</v>
      </c>
      <c r="E99" s="38"/>
      <c r="F99" s="33"/>
      <c r="G99" s="34"/>
      <c r="H99" s="39"/>
      <c r="I99" s="39"/>
      <c r="J99" s="36"/>
      <c r="K99" s="37"/>
      <c r="L99" s="31"/>
      <c r="M99" s="72"/>
      <c r="N99" s="73"/>
      <c r="O99" s="74"/>
      <c r="P99" s="75"/>
      <c r="Q99" s="76"/>
      <c r="S99" s="110"/>
      <c r="T99" s="114"/>
      <c r="U99" s="12"/>
      <c r="V99" s="12"/>
      <c r="W99" s="19"/>
      <c r="X99" s="111"/>
    </row>
    <row r="100" spans="1:24" ht="12.75" hidden="1" outlineLevel="1">
      <c r="A100" s="60"/>
      <c r="B100" s="61">
        <v>2</v>
      </c>
      <c r="C100" s="64">
        <v>3.8</v>
      </c>
      <c r="D100" s="63">
        <f t="shared" si="10"/>
        <v>7.6</v>
      </c>
      <c r="E100" s="38"/>
      <c r="F100" s="33"/>
      <c r="G100" s="34"/>
      <c r="H100" s="39"/>
      <c r="I100" s="39"/>
      <c r="J100" s="36"/>
      <c r="K100" s="37"/>
      <c r="L100" s="31"/>
      <c r="M100" s="72"/>
      <c r="N100" s="73"/>
      <c r="O100" s="74"/>
      <c r="P100" s="75"/>
      <c r="Q100" s="76"/>
      <c r="S100" s="110"/>
      <c r="T100" s="114"/>
      <c r="U100" s="12"/>
      <c r="V100" s="12"/>
      <c r="W100" s="19"/>
      <c r="X100" s="111"/>
    </row>
    <row r="101" spans="1:24" ht="12.75" hidden="1" outlineLevel="1">
      <c r="A101" s="60"/>
      <c r="B101" s="61">
        <v>2</v>
      </c>
      <c r="C101" s="64">
        <v>2.6</v>
      </c>
      <c r="D101" s="63">
        <f t="shared" si="10"/>
        <v>5.2</v>
      </c>
      <c r="E101" s="38"/>
      <c r="F101" s="33"/>
      <c r="G101" s="34"/>
      <c r="H101" s="39"/>
      <c r="I101" s="39"/>
      <c r="J101" s="36"/>
      <c r="K101" s="37"/>
      <c r="L101" s="31"/>
      <c r="M101" s="72"/>
      <c r="N101" s="73"/>
      <c r="O101" s="74"/>
      <c r="P101" s="75"/>
      <c r="Q101" s="76"/>
      <c r="S101" s="110"/>
      <c r="T101" s="114"/>
      <c r="U101" s="12"/>
      <c r="V101" s="12"/>
      <c r="W101" s="19"/>
      <c r="X101" s="111"/>
    </row>
    <row r="102" spans="1:24" ht="12.75" hidden="1" outlineLevel="1">
      <c r="A102" s="60"/>
      <c r="B102" s="61">
        <v>2</v>
      </c>
      <c r="C102" s="64">
        <v>3</v>
      </c>
      <c r="D102" s="63">
        <f t="shared" si="10"/>
        <v>6</v>
      </c>
      <c r="E102" s="38"/>
      <c r="F102" s="33"/>
      <c r="G102" s="34"/>
      <c r="H102" s="39"/>
      <c r="I102" s="39"/>
      <c r="J102" s="36"/>
      <c r="K102" s="37"/>
      <c r="L102" s="31"/>
      <c r="M102" s="72"/>
      <c r="N102" s="73"/>
      <c r="O102" s="74"/>
      <c r="P102" s="75"/>
      <c r="Q102" s="76"/>
      <c r="S102" s="110"/>
      <c r="T102" s="114"/>
      <c r="U102" s="12"/>
      <c r="V102" s="12"/>
      <c r="W102" s="19"/>
      <c r="X102" s="111"/>
    </row>
    <row r="103" spans="1:24" ht="12.75" hidden="1" outlineLevel="1">
      <c r="A103" s="60"/>
      <c r="B103" s="61">
        <v>2</v>
      </c>
      <c r="C103" s="64">
        <v>3.5</v>
      </c>
      <c r="D103" s="63">
        <f t="shared" si="10"/>
        <v>7</v>
      </c>
      <c r="E103" s="38"/>
      <c r="F103" s="33"/>
      <c r="G103" s="34"/>
      <c r="H103" s="39"/>
      <c r="I103" s="39"/>
      <c r="J103" s="36"/>
      <c r="K103" s="37"/>
      <c r="L103" s="31"/>
      <c r="M103" s="72"/>
      <c r="N103" s="73"/>
      <c r="O103" s="74"/>
      <c r="P103" s="75"/>
      <c r="Q103" s="76"/>
      <c r="S103" s="110"/>
      <c r="T103" s="114"/>
      <c r="U103" s="12"/>
      <c r="V103" s="12"/>
      <c r="W103" s="19"/>
      <c r="X103" s="111"/>
    </row>
    <row r="104" spans="1:24" ht="12.75" hidden="1" outlineLevel="1">
      <c r="A104" s="60"/>
      <c r="B104" s="61">
        <v>2</v>
      </c>
      <c r="C104" s="64">
        <v>3.2</v>
      </c>
      <c r="D104" s="63">
        <f t="shared" si="10"/>
        <v>6.4</v>
      </c>
      <c r="E104" s="38"/>
      <c r="F104" s="33"/>
      <c r="G104" s="34"/>
      <c r="H104" s="39"/>
      <c r="I104" s="39"/>
      <c r="J104" s="36"/>
      <c r="K104" s="37"/>
      <c r="L104" s="31"/>
      <c r="M104" s="72"/>
      <c r="N104" s="73"/>
      <c r="O104" s="74"/>
      <c r="P104" s="75"/>
      <c r="Q104" s="76"/>
      <c r="S104" s="110"/>
      <c r="T104" s="114"/>
      <c r="U104" s="12"/>
      <c r="V104" s="12"/>
      <c r="W104" s="19"/>
      <c r="X104" s="111"/>
    </row>
    <row r="105" spans="1:24" ht="12.75" hidden="1" outlineLevel="1">
      <c r="A105" s="60"/>
      <c r="B105" s="61">
        <v>2</v>
      </c>
      <c r="C105" s="64">
        <v>3</v>
      </c>
      <c r="D105" s="63">
        <f t="shared" si="10"/>
        <v>6</v>
      </c>
      <c r="E105" s="38"/>
      <c r="F105" s="33"/>
      <c r="G105" s="34"/>
      <c r="H105" s="39"/>
      <c r="I105" s="39"/>
      <c r="J105" s="36"/>
      <c r="K105" s="37"/>
      <c r="L105" s="31"/>
      <c r="M105" s="72"/>
      <c r="N105" s="73"/>
      <c r="O105" s="74"/>
      <c r="P105" s="75"/>
      <c r="Q105" s="76"/>
      <c r="S105" s="110"/>
      <c r="T105" s="114"/>
      <c r="U105" s="12"/>
      <c r="V105" s="12"/>
      <c r="W105" s="19"/>
      <c r="X105" s="111"/>
    </row>
    <row r="106" spans="1:24" ht="12.75" hidden="1" outlineLevel="1">
      <c r="A106" s="60"/>
      <c r="B106" s="61">
        <v>2</v>
      </c>
      <c r="C106" s="64">
        <v>3.8</v>
      </c>
      <c r="D106" s="63">
        <f t="shared" si="10"/>
        <v>7.6</v>
      </c>
      <c r="E106" s="38"/>
      <c r="F106" s="33"/>
      <c r="G106" s="34"/>
      <c r="H106" s="39"/>
      <c r="I106" s="39"/>
      <c r="J106" s="36"/>
      <c r="K106" s="37"/>
      <c r="L106" s="31"/>
      <c r="M106" s="72"/>
      <c r="N106" s="73"/>
      <c r="O106" s="74"/>
      <c r="P106" s="75"/>
      <c r="Q106" s="76"/>
      <c r="S106" s="110"/>
      <c r="T106" s="114"/>
      <c r="U106" s="12"/>
      <c r="V106" s="12"/>
      <c r="W106" s="19"/>
      <c r="X106" s="111"/>
    </row>
    <row r="107" spans="1:24" ht="12.75" hidden="1" outlineLevel="1">
      <c r="A107" s="60"/>
      <c r="B107" s="61">
        <v>2</v>
      </c>
      <c r="C107" s="64">
        <v>3.9</v>
      </c>
      <c r="D107" s="63">
        <f t="shared" si="10"/>
        <v>7.8</v>
      </c>
      <c r="E107" s="38"/>
      <c r="F107" s="33"/>
      <c r="G107" s="34"/>
      <c r="H107" s="39"/>
      <c r="I107" s="39"/>
      <c r="J107" s="36"/>
      <c r="K107" s="37"/>
      <c r="L107" s="31"/>
      <c r="M107" s="72"/>
      <c r="N107" s="73"/>
      <c r="O107" s="74"/>
      <c r="P107" s="75"/>
      <c r="Q107" s="76"/>
      <c r="S107" s="110"/>
      <c r="T107" s="114"/>
      <c r="U107" s="12"/>
      <c r="V107" s="12"/>
      <c r="W107" s="19"/>
      <c r="X107" s="111"/>
    </row>
    <row r="108" spans="1:24" ht="12.75" hidden="1" outlineLevel="1">
      <c r="A108" s="60"/>
      <c r="B108" s="61"/>
      <c r="C108" s="64"/>
      <c r="D108" s="63"/>
      <c r="E108" s="38"/>
      <c r="F108" s="33"/>
      <c r="G108" s="34"/>
      <c r="H108" s="39"/>
      <c r="I108" s="39"/>
      <c r="J108" s="36"/>
      <c r="K108" s="37"/>
      <c r="L108" s="31"/>
      <c r="M108" s="72"/>
      <c r="N108" s="73"/>
      <c r="O108" s="74"/>
      <c r="P108" s="75"/>
      <c r="Q108" s="76"/>
      <c r="S108" s="110"/>
      <c r="T108" s="114"/>
      <c r="U108" s="12"/>
      <c r="V108" s="12"/>
      <c r="W108" s="19"/>
      <c r="X108" s="111"/>
    </row>
    <row r="109" spans="1:24" ht="12.75" hidden="1" outlineLevel="1">
      <c r="A109" s="60"/>
      <c r="B109" s="61"/>
      <c r="C109" s="64"/>
      <c r="D109" s="65">
        <f>SUM(D98:D108)</f>
        <v>69.2</v>
      </c>
      <c r="E109" s="38"/>
      <c r="F109" s="33"/>
      <c r="G109" s="34"/>
      <c r="H109" s="39"/>
      <c r="I109" s="39"/>
      <c r="J109" s="36"/>
      <c r="K109" s="37"/>
      <c r="L109" s="31"/>
      <c r="M109" s="72"/>
      <c r="N109" s="73"/>
      <c r="O109" s="74"/>
      <c r="P109" s="75"/>
      <c r="Q109" s="76"/>
      <c r="S109" s="110"/>
      <c r="T109" s="114"/>
      <c r="U109" s="12"/>
      <c r="V109" s="12"/>
      <c r="W109" s="19"/>
      <c r="X109" s="111"/>
    </row>
    <row r="110" spans="1:24" ht="12.75" hidden="1" outlineLevel="1">
      <c r="A110" s="60"/>
      <c r="B110" s="61"/>
      <c r="C110" s="64"/>
      <c r="D110" s="63"/>
      <c r="E110" s="38"/>
      <c r="F110" s="33"/>
      <c r="G110" s="34"/>
      <c r="H110" s="39"/>
      <c r="I110" s="39"/>
      <c r="J110" s="36"/>
      <c r="K110" s="37"/>
      <c r="L110" s="31"/>
      <c r="M110" s="72"/>
      <c r="N110" s="73"/>
      <c r="O110" s="74"/>
      <c r="P110" s="75"/>
      <c r="Q110" s="76"/>
      <c r="S110" s="110"/>
      <c r="T110" s="114"/>
      <c r="U110" s="12"/>
      <c r="V110" s="12"/>
      <c r="W110" s="19"/>
      <c r="X110" s="111"/>
    </row>
    <row r="111" spans="1:24" ht="12.75" hidden="1" outlineLevel="1">
      <c r="A111" s="60"/>
      <c r="B111" s="61"/>
      <c r="C111" s="64"/>
      <c r="D111" s="63"/>
      <c r="E111" s="38"/>
      <c r="F111" s="33"/>
      <c r="G111" s="34"/>
      <c r="H111" s="39"/>
      <c r="I111" s="39"/>
      <c r="J111" s="36">
        <f aca="true" t="shared" si="11" ref="J111:J126">IF(+I111+H111&gt;0,I111+(H111*labour),"")</f>
      </c>
      <c r="K111" s="37">
        <f>+IF(F111="item",J111,IF(F111&lt;&gt;0,F111*J111,""))</f>
      </c>
      <c r="L111" s="31"/>
      <c r="M111" s="72"/>
      <c r="N111" s="73"/>
      <c r="O111" s="74"/>
      <c r="P111" s="75">
        <f>+IF(M111="item",O111,IF(M111&lt;&gt;0,M111*O111,""))</f>
      </c>
      <c r="Q111" s="76"/>
      <c r="S111" s="110"/>
      <c r="T111" s="12"/>
      <c r="U111" s="12"/>
      <c r="V111" s="12"/>
      <c r="W111" s="19"/>
      <c r="X111" s="111"/>
    </row>
    <row r="112" spans="1:24" ht="12.75" hidden="1" outlineLevel="1">
      <c r="A112" s="60"/>
      <c r="B112" s="61"/>
      <c r="C112" s="64"/>
      <c r="D112" s="63"/>
      <c r="E112" s="38" t="s">
        <v>61</v>
      </c>
      <c r="F112" s="33">
        <f>+F86</f>
        <v>65</v>
      </c>
      <c r="G112" s="34" t="s">
        <v>35</v>
      </c>
      <c r="H112" s="39">
        <v>0.08</v>
      </c>
      <c r="I112" s="39">
        <f>+underlay</f>
        <v>1.6679999999999997</v>
      </c>
      <c r="J112" s="36">
        <f t="shared" si="11"/>
        <v>4.068</v>
      </c>
      <c r="K112" s="37">
        <f>+IF(F112="item",J112,IF(F112&lt;&gt;0,F112*J112,""))</f>
        <v>264.41999999999996</v>
      </c>
      <c r="L112" s="31"/>
      <c r="M112" s="72"/>
      <c r="N112" s="73"/>
      <c r="O112" s="74"/>
      <c r="P112" s="75">
        <f>+IF(M112="item",O112,IF(M112&lt;&gt;0,M112*O112,""))</f>
      </c>
      <c r="Q112" s="76"/>
      <c r="S112" s="110" t="str">
        <f>+E112</f>
        <v>Wool mix underlay</v>
      </c>
      <c r="T112" s="114">
        <f>+K112</f>
        <v>264.41999999999996</v>
      </c>
      <c r="U112" s="12"/>
      <c r="V112" s="12">
        <v>15</v>
      </c>
      <c r="W112" s="19">
        <f>ROUND(+IF(V112&gt;0,T112/V112,""),2)</f>
        <v>17.63</v>
      </c>
      <c r="X112" s="111"/>
    </row>
    <row r="113" spans="1:24" ht="12.75" hidden="1" outlineLevel="1">
      <c r="A113" s="60"/>
      <c r="B113" s="61"/>
      <c r="C113" s="64"/>
      <c r="D113" s="63"/>
      <c r="E113" s="38"/>
      <c r="F113" s="33"/>
      <c r="G113" s="34"/>
      <c r="H113" s="39"/>
      <c r="I113" s="39"/>
      <c r="J113" s="36"/>
      <c r="K113" s="37"/>
      <c r="L113" s="31"/>
      <c r="M113" s="72"/>
      <c r="N113" s="73"/>
      <c r="O113" s="74"/>
      <c r="P113" s="75"/>
      <c r="Q113" s="76"/>
      <c r="S113" s="110"/>
      <c r="T113" s="114"/>
      <c r="U113" s="12"/>
      <c r="V113" s="12"/>
      <c r="W113" s="19"/>
      <c r="X113" s="111"/>
    </row>
    <row r="114" spans="1:24" ht="12.75" hidden="1" outlineLevel="1">
      <c r="A114" s="60"/>
      <c r="B114" s="61"/>
      <c r="C114" s="64"/>
      <c r="D114" s="63"/>
      <c r="E114" s="38" t="s">
        <v>362</v>
      </c>
      <c r="F114" s="33">
        <v>10</v>
      </c>
      <c r="G114" s="34" t="s">
        <v>363</v>
      </c>
      <c r="H114" s="39"/>
      <c r="I114" s="39"/>
      <c r="J114" s="36">
        <f>SUM(K86:K112)</f>
        <v>688.92</v>
      </c>
      <c r="K114" s="37">
        <f>+J114*F114%</f>
        <v>68.892</v>
      </c>
      <c r="L114" s="31"/>
      <c r="M114" s="72"/>
      <c r="N114" s="73"/>
      <c r="O114" s="74"/>
      <c r="P114" s="75"/>
      <c r="Q114" s="76"/>
      <c r="S114" s="110"/>
      <c r="T114" s="114"/>
      <c r="U114" s="12"/>
      <c r="V114" s="12"/>
      <c r="W114" s="19"/>
      <c r="X114" s="111"/>
    </row>
    <row r="115" spans="1:24" ht="12.75" hidden="1" outlineLevel="1">
      <c r="A115" s="60"/>
      <c r="B115" s="61"/>
      <c r="C115" s="64"/>
      <c r="D115" s="63"/>
      <c r="E115" s="38"/>
      <c r="F115" s="33"/>
      <c r="G115" s="34"/>
      <c r="H115" s="39"/>
      <c r="I115" s="39"/>
      <c r="J115" s="36">
        <f t="shared" si="11"/>
      </c>
      <c r="K115" s="37">
        <f>+IF(F115="item",J115,IF(F115&lt;&gt;0,F115*J115,""))</f>
      </c>
      <c r="L115" s="31"/>
      <c r="M115" s="72"/>
      <c r="N115" s="73"/>
      <c r="O115" s="74"/>
      <c r="P115" s="75">
        <f>+IF(M115="item",O115,IF(M115&lt;&gt;0,M115*O115,""))</f>
      </c>
      <c r="Q115" s="76"/>
      <c r="S115" s="110"/>
      <c r="T115" s="12"/>
      <c r="U115" s="12"/>
      <c r="V115" s="12"/>
      <c r="W115" s="19"/>
      <c r="X115" s="111"/>
    </row>
    <row r="116" spans="1:24" ht="12.75" collapsed="1">
      <c r="A116" s="60"/>
      <c r="B116" s="61"/>
      <c r="C116" s="64"/>
      <c r="D116" s="63"/>
      <c r="E116" s="38"/>
      <c r="F116" s="33"/>
      <c r="G116" s="34"/>
      <c r="H116" s="39"/>
      <c r="I116" s="39"/>
      <c r="J116" s="36">
        <f t="shared" si="11"/>
      </c>
      <c r="K116" s="37">
        <f>+IF(F116="item",J116,IF(F116&lt;&gt;0,F116*J116,""))</f>
      </c>
      <c r="L116" s="31"/>
      <c r="M116" s="33"/>
      <c r="N116" s="34"/>
      <c r="O116" s="36"/>
      <c r="P116" s="37">
        <f>+IF(M116="item",O116,IF(M116&lt;&gt;0,M116*O116,""))</f>
      </c>
      <c r="Q116" s="54"/>
      <c r="S116" s="110"/>
      <c r="T116" s="12"/>
      <c r="U116" s="12"/>
      <c r="V116" s="12"/>
      <c r="W116" s="19"/>
      <c r="X116" s="111"/>
    </row>
    <row r="117" spans="1:24" ht="12.75">
      <c r="A117" s="60"/>
      <c r="B117" s="61"/>
      <c r="C117" s="64"/>
      <c r="D117" s="63"/>
      <c r="E117" s="32" t="s">
        <v>90</v>
      </c>
      <c r="F117" s="33"/>
      <c r="G117" s="34"/>
      <c r="H117" s="39"/>
      <c r="I117" s="39"/>
      <c r="J117" s="36">
        <f t="shared" si="11"/>
      </c>
      <c r="K117" s="53">
        <f>SUM(K118:K122)</f>
        <v>1391.5</v>
      </c>
      <c r="L117" s="31" t="s">
        <v>66</v>
      </c>
      <c r="M117" s="33"/>
      <c r="N117" s="34"/>
      <c r="O117" s="36"/>
      <c r="P117" s="53">
        <f>SUM(P118:P120)</f>
        <v>770</v>
      </c>
      <c r="Q117" s="54" t="s">
        <v>66</v>
      </c>
      <c r="S117" s="110" t="s">
        <v>261</v>
      </c>
      <c r="T117" s="114">
        <f>+K117</f>
        <v>1391.5</v>
      </c>
      <c r="U117" s="12"/>
      <c r="V117" s="12">
        <v>15</v>
      </c>
      <c r="W117" s="112">
        <f>ROUND(+IF(V117&gt;0,T117/V117,""),2)</f>
        <v>92.77</v>
      </c>
      <c r="X117" s="111"/>
    </row>
    <row r="118" spans="1:24" ht="51" hidden="1" outlineLevel="1">
      <c r="A118" s="60"/>
      <c r="B118" s="61"/>
      <c r="C118" s="64"/>
      <c r="D118" s="63"/>
      <c r="E118" s="38"/>
      <c r="F118" s="33"/>
      <c r="G118" s="34"/>
      <c r="H118" s="39"/>
      <c r="I118" s="39"/>
      <c r="J118" s="36">
        <f t="shared" si="11"/>
      </c>
      <c r="K118" s="37">
        <f>+IF(F118="item",J118,IF(F118&lt;&gt;0,F118*J118,""))</f>
      </c>
      <c r="L118" s="69" t="s">
        <v>65</v>
      </c>
      <c r="M118" s="33"/>
      <c r="N118" s="34"/>
      <c r="O118" s="36"/>
      <c r="P118" s="37">
        <f aca="true" t="shared" si="12" ref="P118:P129">+IF(M118="item",O118,IF(M118&lt;&gt;0,M118*O118,""))</f>
      </c>
      <c r="Q118" s="54"/>
      <c r="S118" s="110"/>
      <c r="T118" s="12"/>
      <c r="U118" s="12"/>
      <c r="V118" s="12"/>
      <c r="W118" s="19"/>
      <c r="X118" s="111"/>
    </row>
    <row r="119" spans="1:24" ht="12.75" hidden="1" outlineLevel="1">
      <c r="A119" s="60"/>
      <c r="B119" s="61"/>
      <c r="C119" s="64"/>
      <c r="D119" s="63"/>
      <c r="E119" s="38"/>
      <c r="F119" s="33">
        <f>+F79</f>
        <v>22</v>
      </c>
      <c r="G119" s="34" t="s">
        <v>8</v>
      </c>
      <c r="H119" s="39">
        <v>0.75</v>
      </c>
      <c r="I119" s="39">
        <v>35</v>
      </c>
      <c r="J119" s="36">
        <f t="shared" si="11"/>
        <v>57.5</v>
      </c>
      <c r="K119" s="37">
        <f>+IF(F119="item",J119,IF(F119&lt;&gt;0,F119*J119,""))</f>
        <v>1265</v>
      </c>
      <c r="L119" s="91" t="s">
        <v>67</v>
      </c>
      <c r="M119" s="33">
        <f>+F119</f>
        <v>22</v>
      </c>
      <c r="N119" s="34" t="s">
        <v>8</v>
      </c>
      <c r="O119" s="36">
        <f>+I119</f>
        <v>35</v>
      </c>
      <c r="P119" s="37">
        <f t="shared" si="12"/>
        <v>770</v>
      </c>
      <c r="Q119" s="54"/>
      <c r="S119" s="110"/>
      <c r="T119" s="12"/>
      <c r="U119" s="12"/>
      <c r="V119" s="12"/>
      <c r="W119" s="19"/>
      <c r="X119" s="111"/>
    </row>
    <row r="120" spans="1:24" ht="12.75" hidden="1" outlineLevel="1">
      <c r="A120" s="60"/>
      <c r="B120" s="61"/>
      <c r="C120" s="64"/>
      <c r="D120" s="63"/>
      <c r="E120" s="40"/>
      <c r="F120" s="33"/>
      <c r="G120" s="34"/>
      <c r="H120" s="39"/>
      <c r="I120" s="39"/>
      <c r="J120" s="36">
        <f t="shared" si="11"/>
      </c>
      <c r="K120" s="37">
        <f>+IF(F120="item",J120,IF(F120&lt;&gt;0,F120*J120,""))</f>
      </c>
      <c r="L120" s="31"/>
      <c r="M120" s="33"/>
      <c r="N120" s="34"/>
      <c r="O120" s="36"/>
      <c r="P120" s="37">
        <f t="shared" si="12"/>
      </c>
      <c r="Q120" s="54"/>
      <c r="S120" s="110"/>
      <c r="T120" s="12"/>
      <c r="U120" s="12"/>
      <c r="V120" s="12"/>
      <c r="W120" s="19"/>
      <c r="X120" s="111"/>
    </row>
    <row r="121" spans="1:24" ht="12.75" hidden="1" outlineLevel="1">
      <c r="A121" s="60"/>
      <c r="B121" s="61"/>
      <c r="C121" s="64"/>
      <c r="D121" s="63"/>
      <c r="E121" s="38" t="s">
        <v>362</v>
      </c>
      <c r="F121" s="33">
        <v>10</v>
      </c>
      <c r="G121" s="34" t="s">
        <v>363</v>
      </c>
      <c r="H121" s="39"/>
      <c r="I121" s="39"/>
      <c r="J121" s="36">
        <f>SUM(K118:K120)</f>
        <v>1265</v>
      </c>
      <c r="K121" s="37">
        <f>+J121*F121%</f>
        <v>126.5</v>
      </c>
      <c r="L121" s="31"/>
      <c r="M121" s="33"/>
      <c r="N121" s="34"/>
      <c r="O121" s="36"/>
      <c r="P121" s="37"/>
      <c r="Q121" s="54"/>
      <c r="S121" s="110"/>
      <c r="T121" s="12"/>
      <c r="U121" s="12"/>
      <c r="V121" s="12"/>
      <c r="W121" s="19"/>
      <c r="X121" s="111"/>
    </row>
    <row r="122" spans="1:24" ht="12.75" hidden="1" outlineLevel="1">
      <c r="A122" s="60"/>
      <c r="B122" s="61"/>
      <c r="C122" s="64"/>
      <c r="D122" s="63"/>
      <c r="E122" s="40"/>
      <c r="F122" s="33"/>
      <c r="G122" s="34"/>
      <c r="H122" s="39"/>
      <c r="I122" s="39"/>
      <c r="J122" s="36"/>
      <c r="K122" s="37"/>
      <c r="L122" s="31"/>
      <c r="M122" s="33"/>
      <c r="N122" s="34"/>
      <c r="O122" s="36"/>
      <c r="P122" s="37"/>
      <c r="Q122" s="54"/>
      <c r="S122" s="110"/>
      <c r="T122" s="12"/>
      <c r="U122" s="12"/>
      <c r="V122" s="12"/>
      <c r="W122" s="19"/>
      <c r="X122" s="111"/>
    </row>
    <row r="123" spans="1:24" ht="12.75" collapsed="1">
      <c r="A123" s="60"/>
      <c r="B123" s="61"/>
      <c r="C123" s="64"/>
      <c r="D123" s="63"/>
      <c r="E123" s="41"/>
      <c r="F123" s="33"/>
      <c r="G123" s="34"/>
      <c r="H123" s="39"/>
      <c r="I123" s="39"/>
      <c r="J123" s="36">
        <f t="shared" si="11"/>
      </c>
      <c r="K123" s="37">
        <f>+IF(F123="item",J123,IF(F123&lt;&gt;0,F123*J123,""))</f>
      </c>
      <c r="L123" s="31"/>
      <c r="M123" s="33"/>
      <c r="N123" s="34"/>
      <c r="O123" s="36"/>
      <c r="P123" s="37">
        <f t="shared" si="12"/>
      </c>
      <c r="Q123" s="54"/>
      <c r="S123" s="110"/>
      <c r="T123" s="12"/>
      <c r="U123" s="12"/>
      <c r="V123" s="12"/>
      <c r="W123" s="19"/>
      <c r="X123" s="111"/>
    </row>
    <row r="124" spans="1:24" ht="12.75">
      <c r="A124" s="60"/>
      <c r="B124" s="61"/>
      <c r="C124" s="64"/>
      <c r="D124" s="63"/>
      <c r="E124" s="38"/>
      <c r="F124" s="33"/>
      <c r="G124" s="34"/>
      <c r="H124" s="39"/>
      <c r="I124" s="39"/>
      <c r="J124" s="36">
        <f t="shared" si="11"/>
      </c>
      <c r="K124" s="37">
        <f>+IF(F124="item",J124,IF(F124&lt;&gt;0,F124*J124,""))</f>
      </c>
      <c r="L124" s="31"/>
      <c r="M124" s="33"/>
      <c r="N124" s="34"/>
      <c r="O124" s="36"/>
      <c r="P124" s="37">
        <f t="shared" si="12"/>
      </c>
      <c r="Q124" s="54"/>
      <c r="S124" s="110"/>
      <c r="T124" s="12"/>
      <c r="U124" s="12"/>
      <c r="V124" s="12"/>
      <c r="W124" s="19"/>
      <c r="X124" s="111"/>
    </row>
    <row r="125" spans="1:24" ht="12.75">
      <c r="A125" s="60"/>
      <c r="B125" s="61"/>
      <c r="C125" s="64"/>
      <c r="D125" s="63"/>
      <c r="E125" s="32" t="s">
        <v>91</v>
      </c>
      <c r="F125" s="33"/>
      <c r="G125" s="34"/>
      <c r="H125" s="39"/>
      <c r="I125" s="39"/>
      <c r="J125" s="36">
        <f t="shared" si="11"/>
      </c>
      <c r="K125" s="53">
        <f>SUM(K126:K128)</f>
        <v>17430</v>
      </c>
      <c r="L125" s="31"/>
      <c r="M125" s="72"/>
      <c r="N125" s="73"/>
      <c r="O125" s="74"/>
      <c r="P125" s="75">
        <f t="shared" si="12"/>
      </c>
      <c r="Q125" s="76"/>
      <c r="S125" s="110"/>
      <c r="T125" s="12"/>
      <c r="U125" s="12"/>
      <c r="V125" s="12"/>
      <c r="W125" s="112">
        <f>SUM(W126:W127)</f>
        <v>581</v>
      </c>
      <c r="X125" s="111"/>
    </row>
    <row r="126" spans="1:24" ht="12.75" hidden="1" outlineLevel="1">
      <c r="A126" s="60"/>
      <c r="B126" s="61"/>
      <c r="C126" s="64"/>
      <c r="D126" s="63"/>
      <c r="E126" s="38"/>
      <c r="F126" s="33"/>
      <c r="G126" s="34"/>
      <c r="H126" s="39"/>
      <c r="I126" s="39"/>
      <c r="J126" s="36">
        <f t="shared" si="11"/>
      </c>
      <c r="K126" s="37">
        <f>+IF(F126="item",J126,IF(F126&lt;&gt;0,F126*J126,""))</f>
      </c>
      <c r="L126" s="31"/>
      <c r="M126" s="72"/>
      <c r="N126" s="73"/>
      <c r="O126" s="74"/>
      <c r="P126" s="75">
        <f t="shared" si="12"/>
      </c>
      <c r="Q126" s="76"/>
      <c r="S126" s="110"/>
      <c r="T126" s="12"/>
      <c r="U126" s="12"/>
      <c r="V126" s="12"/>
      <c r="W126" s="19"/>
      <c r="X126" s="111"/>
    </row>
    <row r="127" spans="1:24" ht="12.75" hidden="1" outlineLevel="1">
      <c r="A127" s="60"/>
      <c r="B127" s="61"/>
      <c r="C127" s="64"/>
      <c r="D127" s="63"/>
      <c r="E127" s="38" t="s">
        <v>68</v>
      </c>
      <c r="F127" s="45" t="s">
        <v>1</v>
      </c>
      <c r="G127" s="42"/>
      <c r="H127" s="43"/>
      <c r="I127" s="43"/>
      <c r="J127" s="147">
        <f>14525*1.2</f>
        <v>17430</v>
      </c>
      <c r="K127" s="148">
        <f>+IF(F127="item",J127,IF(F127&lt;&gt;0,F127*J127,""))</f>
        <v>17430</v>
      </c>
      <c r="L127" s="31" t="s">
        <v>346</v>
      </c>
      <c r="M127" s="72"/>
      <c r="N127" s="73"/>
      <c r="O127" s="74"/>
      <c r="P127" s="75">
        <f t="shared" si="12"/>
      </c>
      <c r="Q127" s="76"/>
      <c r="S127" s="110" t="str">
        <f>+E127</f>
        <v>Storm windows</v>
      </c>
      <c r="T127" s="114">
        <f>+K127</f>
        <v>17430</v>
      </c>
      <c r="U127" s="12"/>
      <c r="V127" s="12">
        <v>30</v>
      </c>
      <c r="W127" s="19">
        <f>ROUND(+IF(V127&gt;0,T127/V127,""),2)</f>
        <v>581</v>
      </c>
      <c r="X127" s="111"/>
    </row>
    <row r="128" spans="1:24" ht="12.75" hidden="1" outlineLevel="1">
      <c r="A128" s="60"/>
      <c r="B128" s="61"/>
      <c r="C128" s="64"/>
      <c r="D128" s="63"/>
      <c r="E128" s="38"/>
      <c r="F128" s="45"/>
      <c r="G128" s="42"/>
      <c r="H128" s="43"/>
      <c r="I128" s="43"/>
      <c r="J128" s="147"/>
      <c r="K128" s="148"/>
      <c r="L128" s="31"/>
      <c r="M128" s="72"/>
      <c r="N128" s="73"/>
      <c r="O128" s="74"/>
      <c r="P128" s="75"/>
      <c r="Q128" s="76"/>
      <c r="S128" s="110"/>
      <c r="T128" s="114"/>
      <c r="U128" s="12"/>
      <c r="V128" s="12"/>
      <c r="W128" s="19"/>
      <c r="X128" s="111"/>
    </row>
    <row r="129" spans="1:24" ht="12.75" collapsed="1">
      <c r="A129" s="60"/>
      <c r="B129" s="61"/>
      <c r="C129" s="64"/>
      <c r="D129" s="63"/>
      <c r="E129" s="38"/>
      <c r="F129" s="33"/>
      <c r="G129" s="34"/>
      <c r="H129" s="39"/>
      <c r="I129" s="39"/>
      <c r="J129" s="36">
        <f>IF(+I129+H129&gt;0,I129+(H129*labour),"")</f>
      </c>
      <c r="K129" s="37">
        <f>+IF(F129="item",J129,IF(F129&lt;&gt;0,F129*J129,""))</f>
      </c>
      <c r="L129" s="31"/>
      <c r="M129" s="33"/>
      <c r="N129" s="34"/>
      <c r="O129" s="36"/>
      <c r="P129" s="37">
        <f t="shared" si="12"/>
      </c>
      <c r="Q129" s="54"/>
      <c r="S129" s="110"/>
      <c r="T129" s="12"/>
      <c r="U129" s="12"/>
      <c r="V129" s="12"/>
      <c r="W129" s="19"/>
      <c r="X129" s="111"/>
    </row>
    <row r="130" spans="1:24" ht="15.75">
      <c r="A130" s="60"/>
      <c r="B130" s="61"/>
      <c r="C130" s="64"/>
      <c r="D130" s="63"/>
      <c r="E130" s="78" t="s">
        <v>92</v>
      </c>
      <c r="F130" s="79"/>
      <c r="G130" s="80"/>
      <c r="H130" s="81"/>
      <c r="I130" s="81"/>
      <c r="J130" s="82"/>
      <c r="K130" s="83"/>
      <c r="L130" s="84"/>
      <c r="M130" s="79"/>
      <c r="N130" s="80"/>
      <c r="O130" s="82"/>
      <c r="P130" s="83"/>
      <c r="Q130" s="85"/>
      <c r="S130" s="110"/>
      <c r="T130" s="12"/>
      <c r="U130" s="12"/>
      <c r="V130" s="12"/>
      <c r="W130" s="19"/>
      <c r="X130" s="111"/>
    </row>
    <row r="131" spans="1:24" ht="12.75">
      <c r="A131" s="60"/>
      <c r="B131" s="61"/>
      <c r="C131" s="64"/>
      <c r="D131" s="63"/>
      <c r="E131" s="38"/>
      <c r="F131" s="33"/>
      <c r="G131" s="34"/>
      <c r="H131" s="39"/>
      <c r="I131" s="39"/>
      <c r="J131" s="36"/>
      <c r="K131" s="37"/>
      <c r="L131" s="31"/>
      <c r="M131" s="33"/>
      <c r="N131" s="34"/>
      <c r="O131" s="36"/>
      <c r="P131" s="37"/>
      <c r="Q131" s="54"/>
      <c r="S131" s="110"/>
      <c r="T131" s="12"/>
      <c r="U131" s="12"/>
      <c r="V131" s="12"/>
      <c r="W131" s="19"/>
      <c r="X131" s="111"/>
    </row>
    <row r="132" spans="1:24" ht="63.75">
      <c r="A132" s="60"/>
      <c r="B132" s="61"/>
      <c r="C132" s="64"/>
      <c r="D132" s="63"/>
      <c r="E132" s="32" t="s">
        <v>93</v>
      </c>
      <c r="F132" s="33"/>
      <c r="G132" s="34"/>
      <c r="H132" s="39"/>
      <c r="I132" s="39"/>
      <c r="J132" s="36">
        <f>IF(+I132+H132&gt;0,I132+(H132*labour),"")</f>
      </c>
      <c r="K132" s="37"/>
      <c r="L132" s="31" t="s">
        <v>94</v>
      </c>
      <c r="M132" s="33"/>
      <c r="N132" s="34"/>
      <c r="O132" s="36"/>
      <c r="P132" s="37">
        <f>+IF(M132="item",O132,IF(M132&lt;&gt;0,M132*O132,""))</f>
      </c>
      <c r="Q132" s="54"/>
      <c r="S132" s="110"/>
      <c r="T132" s="12"/>
      <c r="U132" s="12"/>
      <c r="V132" s="12"/>
      <c r="W132" s="115">
        <v>0</v>
      </c>
      <c r="X132" s="111"/>
    </row>
    <row r="133" spans="1:24" ht="12.75">
      <c r="A133" s="60"/>
      <c r="B133" s="61"/>
      <c r="C133" s="64"/>
      <c r="D133" s="63"/>
      <c r="E133" s="32"/>
      <c r="F133" s="33"/>
      <c r="G133" s="34"/>
      <c r="H133" s="39"/>
      <c r="I133" s="39"/>
      <c r="J133" s="36"/>
      <c r="K133" s="37"/>
      <c r="L133" s="31"/>
      <c r="M133" s="33"/>
      <c r="N133" s="34"/>
      <c r="O133" s="36"/>
      <c r="P133" s="37"/>
      <c r="Q133" s="54"/>
      <c r="S133" s="110"/>
      <c r="T133" s="12"/>
      <c r="U133" s="12"/>
      <c r="V133" s="12"/>
      <c r="W133" s="19"/>
      <c r="X133" s="111"/>
    </row>
    <row r="134" spans="1:24" ht="12.75">
      <c r="A134" s="60"/>
      <c r="B134" s="61"/>
      <c r="C134" s="64"/>
      <c r="D134" s="63"/>
      <c r="E134" s="38"/>
      <c r="F134" s="33"/>
      <c r="G134" s="42"/>
      <c r="H134" s="43"/>
      <c r="I134" s="43"/>
      <c r="J134" s="36">
        <f>IF(+I134+H134&gt;0,I134+(H134*labour),"")</f>
      </c>
      <c r="K134" s="37">
        <f>+IF(F134="item",J134,IF(F134&lt;&gt;0,F134*J134,""))</f>
      </c>
      <c r="L134" s="31"/>
      <c r="M134" s="33"/>
      <c r="N134" s="42"/>
      <c r="O134" s="36"/>
      <c r="P134" s="37">
        <f>+IF(M134="item",O134,IF(M134&lt;&gt;0,M134*O134,""))</f>
      </c>
      <c r="Q134" s="54"/>
      <c r="S134" s="110"/>
      <c r="T134" s="12"/>
      <c r="U134" s="12"/>
      <c r="V134" s="12"/>
      <c r="W134" s="19"/>
      <c r="X134" s="111"/>
    </row>
    <row r="135" spans="1:24" ht="25.5">
      <c r="A135" s="60"/>
      <c r="B135" s="61"/>
      <c r="C135" s="64"/>
      <c r="D135" s="65"/>
      <c r="E135" s="77" t="s">
        <v>95</v>
      </c>
      <c r="F135" s="33"/>
      <c r="G135" s="42"/>
      <c r="H135" s="43"/>
      <c r="I135" s="43"/>
      <c r="J135" s="36">
        <f>IF(+I135+H135&gt;0,I135+(H135*labour),"")</f>
      </c>
      <c r="K135" s="53">
        <f>SUM(K137:K152)</f>
        <v>4770.692451842106</v>
      </c>
      <c r="L135" s="31"/>
      <c r="M135" s="33"/>
      <c r="N135" s="42"/>
      <c r="O135" s="36"/>
      <c r="P135" s="53">
        <f>SUM(P137:P152)</f>
        <v>1732.4931380382777</v>
      </c>
      <c r="Q135" s="54"/>
      <c r="S135" s="110"/>
      <c r="T135" s="12"/>
      <c r="U135" s="12"/>
      <c r="V135" s="12"/>
      <c r="W135" s="112">
        <f>SUM(W136:W152)</f>
        <v>173.48</v>
      </c>
      <c r="X135" s="111"/>
    </row>
    <row r="136" spans="1:24" ht="12.75" hidden="1" outlineLevel="1">
      <c r="A136" s="60"/>
      <c r="B136" s="61"/>
      <c r="C136" s="64"/>
      <c r="D136" s="63"/>
      <c r="E136" s="44"/>
      <c r="F136" s="33"/>
      <c r="G136" s="42"/>
      <c r="H136" s="43"/>
      <c r="I136" s="43"/>
      <c r="J136" s="36">
        <f>IF(+I136+H136&gt;0,I136+(H136*labour),"")</f>
      </c>
      <c r="K136" s="37">
        <f>+IF(F136="item",J136,IF(F136&lt;&gt;0,F136*J136,""))</f>
      </c>
      <c r="L136" s="31"/>
      <c r="M136" s="33"/>
      <c r="N136" s="42"/>
      <c r="O136" s="36"/>
      <c r="P136" s="37">
        <f>+IF(M136="item",O136,IF(M136&lt;&gt;0,M136*O136,""))</f>
      </c>
      <c r="Q136" s="54"/>
      <c r="S136" s="110"/>
      <c r="T136" s="12"/>
      <c r="U136" s="12"/>
      <c r="V136" s="12"/>
      <c r="W136" s="19"/>
      <c r="X136" s="111"/>
    </row>
    <row r="137" spans="1:24" ht="12.75" hidden="1" outlineLevel="1">
      <c r="A137" s="60"/>
      <c r="B137" s="61"/>
      <c r="C137" s="64"/>
      <c r="D137" s="63"/>
      <c r="E137" s="44" t="s">
        <v>71</v>
      </c>
      <c r="F137" s="45">
        <f>+F112</f>
        <v>65</v>
      </c>
      <c r="G137" s="42" t="s">
        <v>35</v>
      </c>
      <c r="H137" s="43"/>
      <c r="I137" s="43"/>
      <c r="J137" s="36">
        <f>8*1.2</f>
        <v>9.6</v>
      </c>
      <c r="K137" s="37">
        <f>+IF(F137="item",J137,IF(F137&lt;&gt;0,F137*J137,""))</f>
        <v>624</v>
      </c>
      <c r="L137" s="31"/>
      <c r="M137" s="45">
        <f>+F137</f>
        <v>65</v>
      </c>
      <c r="N137" s="42" t="s">
        <v>35</v>
      </c>
      <c r="O137" s="36"/>
      <c r="P137" s="37">
        <f>+IF(M137="item",O137,IF(M137&lt;&gt;0,M137*O137,""))</f>
        <v>0</v>
      </c>
      <c r="Q137" s="54"/>
      <c r="S137" s="110" t="str">
        <f>+E137</f>
        <v>Remove floorboards and set aside</v>
      </c>
      <c r="T137" s="114">
        <f>+K137</f>
        <v>624</v>
      </c>
      <c r="U137" s="12"/>
      <c r="V137" s="12">
        <v>25</v>
      </c>
      <c r="W137" s="19">
        <f>ROUND(+IF(V137&gt;0,T137/V137,""),2)</f>
        <v>24.96</v>
      </c>
      <c r="X137" s="111"/>
    </row>
    <row r="138" spans="1:24" ht="12.75" hidden="1" outlineLevel="1">
      <c r="A138" s="60"/>
      <c r="B138" s="61"/>
      <c r="C138" s="64"/>
      <c r="D138" s="63"/>
      <c r="E138" s="44"/>
      <c r="F138" s="45"/>
      <c r="G138" s="42"/>
      <c r="H138" s="43"/>
      <c r="I138" s="43"/>
      <c r="J138" s="36"/>
      <c r="K138" s="37"/>
      <c r="L138" s="31"/>
      <c r="M138" s="45"/>
      <c r="N138" s="42"/>
      <c r="O138" s="36"/>
      <c r="P138" s="37"/>
      <c r="Q138" s="54"/>
      <c r="S138" s="110"/>
      <c r="T138" s="12"/>
      <c r="U138" s="12"/>
      <c r="V138" s="12"/>
      <c r="W138" s="19"/>
      <c r="X138" s="111"/>
    </row>
    <row r="139" spans="1:24" ht="12.75" hidden="1" outlineLevel="1">
      <c r="A139" s="60"/>
      <c r="B139" s="61"/>
      <c r="C139" s="64"/>
      <c r="D139" s="63"/>
      <c r="E139" s="38" t="s">
        <v>72</v>
      </c>
      <c r="F139" s="45">
        <f>ROUND(+F137*1.2,0)</f>
        <v>78</v>
      </c>
      <c r="G139" s="42" t="s">
        <v>35</v>
      </c>
      <c r="H139" s="43">
        <v>0.1</v>
      </c>
      <c r="I139" s="43">
        <f>netlon</f>
        <v>0.4648000000000001</v>
      </c>
      <c r="J139" s="36">
        <f aca="true" t="shared" si="13" ref="J139:J146">IF(+I139+H139&gt;0,I139+(H139*labour),"")</f>
        <v>3.4648000000000003</v>
      </c>
      <c r="K139" s="37">
        <f aca="true" t="shared" si="14" ref="K139:K153">+IF(F139="item",J139,IF(F139&lt;&gt;0,F139*J139,""))</f>
        <v>270.25440000000003</v>
      </c>
      <c r="L139" s="31"/>
      <c r="M139" s="45">
        <f>+F139</f>
        <v>78</v>
      </c>
      <c r="N139" s="42" t="s">
        <v>35</v>
      </c>
      <c r="O139" s="36">
        <f>+I139</f>
        <v>0.4648000000000001</v>
      </c>
      <c r="P139" s="37">
        <f aca="true" t="shared" si="15" ref="P139:P165">+IF(M139="item",O139,IF(M139&lt;&gt;0,M139*O139,""))</f>
        <v>36.25440000000001</v>
      </c>
      <c r="Q139" s="54"/>
      <c r="S139" s="110" t="str">
        <f>+E139</f>
        <v>Netlon netting trays</v>
      </c>
      <c r="T139" s="114">
        <f>+K139</f>
        <v>270.25440000000003</v>
      </c>
      <c r="U139" s="12"/>
      <c r="V139" s="12">
        <v>25</v>
      </c>
      <c r="W139" s="19">
        <f>ROUND(+IF(V139&gt;0,T139/V139,""),2)</f>
        <v>10.81</v>
      </c>
      <c r="X139" s="111"/>
    </row>
    <row r="140" spans="1:24" ht="12.75" hidden="1" outlineLevel="1">
      <c r="A140" s="60"/>
      <c r="B140" s="61"/>
      <c r="C140" s="64"/>
      <c r="D140" s="63"/>
      <c r="F140" s="45"/>
      <c r="G140" s="42"/>
      <c r="H140" s="43"/>
      <c r="I140" s="43"/>
      <c r="J140" s="36">
        <f t="shared" si="13"/>
      </c>
      <c r="K140" s="37">
        <f t="shared" si="14"/>
      </c>
      <c r="L140" s="31"/>
      <c r="M140" s="45"/>
      <c r="N140" s="42"/>
      <c r="O140" s="36"/>
      <c r="P140" s="37">
        <f t="shared" si="15"/>
      </c>
      <c r="Q140" s="54"/>
      <c r="S140" s="110"/>
      <c r="T140" s="12"/>
      <c r="U140" s="12"/>
      <c r="V140" s="12"/>
      <c r="W140" s="19"/>
      <c r="X140" s="111"/>
    </row>
    <row r="141" spans="1:24" ht="12.75" hidden="1" outlineLevel="1">
      <c r="A141" s="60"/>
      <c r="B141" s="61"/>
      <c r="C141" s="64"/>
      <c r="D141" s="63"/>
      <c r="E141" s="38" t="s">
        <v>76</v>
      </c>
      <c r="F141" s="45">
        <f>+F137</f>
        <v>65</v>
      </c>
      <c r="G141" s="42" t="s">
        <v>35</v>
      </c>
      <c r="H141" s="43">
        <v>0.13</v>
      </c>
      <c r="I141" s="43">
        <f>sheep</f>
        <v>11.300250000000002</v>
      </c>
      <c r="J141" s="36">
        <f t="shared" si="13"/>
        <v>15.200250000000002</v>
      </c>
      <c r="K141" s="37">
        <f t="shared" si="14"/>
        <v>988.0162500000001</v>
      </c>
      <c r="L141" s="31"/>
      <c r="M141" s="45">
        <f>+F141</f>
        <v>65</v>
      </c>
      <c r="N141" s="42" t="s">
        <v>35</v>
      </c>
      <c r="O141" s="36">
        <f>+I141</f>
        <v>11.300250000000002</v>
      </c>
      <c r="P141" s="37">
        <f t="shared" si="15"/>
        <v>734.5162500000001</v>
      </c>
      <c r="Q141" s="54"/>
      <c r="S141" s="110" t="str">
        <f>+E141</f>
        <v>Sheepswool 100mm thick</v>
      </c>
      <c r="T141" s="114">
        <f>+K141</f>
        <v>988.0162500000001</v>
      </c>
      <c r="U141" s="12"/>
      <c r="V141" s="12">
        <v>25</v>
      </c>
      <c r="W141" s="19">
        <f>ROUND(+IF(V141&gt;0,T141/V141,""),2)</f>
        <v>39.52</v>
      </c>
      <c r="X141" s="111"/>
    </row>
    <row r="142" spans="1:24" ht="12.75" hidden="1" outlineLevel="1">
      <c r="A142" s="60"/>
      <c r="B142" s="61"/>
      <c r="C142" s="64"/>
      <c r="D142" s="63"/>
      <c r="E142" s="38"/>
      <c r="F142" s="45"/>
      <c r="G142" s="42"/>
      <c r="H142" s="43"/>
      <c r="I142" s="43"/>
      <c r="J142" s="36">
        <f t="shared" si="13"/>
      </c>
      <c r="K142" s="37">
        <f t="shared" si="14"/>
      </c>
      <c r="L142" s="31"/>
      <c r="M142" s="45"/>
      <c r="N142" s="42"/>
      <c r="O142" s="36"/>
      <c r="P142" s="37">
        <f t="shared" si="15"/>
      </c>
      <c r="Q142" s="54"/>
      <c r="S142" s="110"/>
      <c r="T142" s="12"/>
      <c r="U142" s="12"/>
      <c r="V142" s="12"/>
      <c r="W142" s="19"/>
      <c r="X142" s="111"/>
    </row>
    <row r="143" spans="1:24" ht="12.75" hidden="1" outlineLevel="1">
      <c r="A143" s="60"/>
      <c r="B143" s="61"/>
      <c r="C143" s="64"/>
      <c r="D143" s="63"/>
      <c r="E143" s="38" t="s">
        <v>79</v>
      </c>
      <c r="F143" s="45">
        <f>+F137</f>
        <v>65</v>
      </c>
      <c r="G143" s="42" t="s">
        <v>35</v>
      </c>
      <c r="H143" s="43">
        <v>0.74</v>
      </c>
      <c r="I143" s="43"/>
      <c r="J143" s="36">
        <f t="shared" si="13"/>
        <v>22.2</v>
      </c>
      <c r="K143" s="37">
        <f t="shared" si="14"/>
        <v>1443</v>
      </c>
      <c r="L143" s="31"/>
      <c r="M143" s="45">
        <f>+F143</f>
        <v>65</v>
      </c>
      <c r="N143" s="42" t="s">
        <v>35</v>
      </c>
      <c r="O143" s="36"/>
      <c r="P143" s="37">
        <f t="shared" si="15"/>
        <v>0</v>
      </c>
      <c r="Q143" s="54"/>
      <c r="S143" s="110" t="str">
        <f>+E143</f>
        <v>Refix boards</v>
      </c>
      <c r="T143" s="114">
        <f>+K143</f>
        <v>1443</v>
      </c>
      <c r="U143" s="12"/>
      <c r="V143" s="12">
        <v>25</v>
      </c>
      <c r="W143" s="19">
        <f>ROUND(+IF(V143&gt;0,T143/V143,""),2)</f>
        <v>57.72</v>
      </c>
      <c r="X143" s="111"/>
    </row>
    <row r="144" spans="1:24" ht="12.75" hidden="1" outlineLevel="1">
      <c r="A144" s="60"/>
      <c r="B144" s="61"/>
      <c r="C144" s="64"/>
      <c r="D144" s="63"/>
      <c r="E144" s="38"/>
      <c r="F144" s="45"/>
      <c r="G144" s="42"/>
      <c r="H144" s="43"/>
      <c r="I144" s="43"/>
      <c r="J144" s="36">
        <f t="shared" si="13"/>
      </c>
      <c r="K144" s="37">
        <f t="shared" si="14"/>
      </c>
      <c r="L144" s="31"/>
      <c r="M144" s="45"/>
      <c r="N144" s="42"/>
      <c r="O144" s="36"/>
      <c r="P144" s="37">
        <f t="shared" si="15"/>
      </c>
      <c r="Q144" s="54"/>
      <c r="S144" s="110"/>
      <c r="T144" s="12"/>
      <c r="U144" s="12"/>
      <c r="V144" s="12"/>
      <c r="W144" s="19"/>
      <c r="X144" s="111"/>
    </row>
    <row r="145" spans="1:24" ht="24.75" customHeight="1" hidden="1" outlineLevel="1">
      <c r="A145" s="60"/>
      <c r="B145" s="61"/>
      <c r="C145" s="64"/>
      <c r="D145" s="63"/>
      <c r="E145" s="38" t="s">
        <v>80</v>
      </c>
      <c r="F145" s="45">
        <f>+F143*0.2</f>
        <v>13</v>
      </c>
      <c r="G145" s="42" t="s">
        <v>35</v>
      </c>
      <c r="H145" s="43"/>
      <c r="I145" s="43">
        <f>vicboards</f>
        <v>62.440191387559814</v>
      </c>
      <c r="J145" s="36">
        <f t="shared" si="13"/>
        <v>62.440191387559814</v>
      </c>
      <c r="K145" s="37">
        <f t="shared" si="14"/>
        <v>811.7224880382776</v>
      </c>
      <c r="L145" s="31"/>
      <c r="M145" s="45">
        <f>+F145</f>
        <v>13</v>
      </c>
      <c r="N145" s="42" t="s">
        <v>35</v>
      </c>
      <c r="O145" s="36">
        <f>+I145</f>
        <v>62.440191387559814</v>
      </c>
      <c r="P145" s="37">
        <f t="shared" si="15"/>
        <v>811.7224880382776</v>
      </c>
      <c r="Q145" s="54"/>
      <c r="S145" s="110" t="str">
        <f>+E145</f>
        <v>Allowance for new boards to replace breakages (20%)</v>
      </c>
      <c r="T145" s="114">
        <f>+K145</f>
        <v>811.7224880382776</v>
      </c>
      <c r="U145" s="12"/>
      <c r="V145" s="12">
        <v>25</v>
      </c>
      <c r="W145" s="19">
        <f>ROUND(+IF(V145&gt;0,T145/V145,""),2)</f>
        <v>32.47</v>
      </c>
      <c r="X145" s="111"/>
    </row>
    <row r="146" spans="1:24" ht="12.75" hidden="1" outlineLevel="1">
      <c r="A146" s="60"/>
      <c r="B146" s="61"/>
      <c r="C146" s="64"/>
      <c r="D146" s="63"/>
      <c r="E146" s="38"/>
      <c r="F146" s="33"/>
      <c r="G146" s="34"/>
      <c r="H146" s="39"/>
      <c r="I146" s="39"/>
      <c r="J146" s="36">
        <f t="shared" si="13"/>
      </c>
      <c r="K146" s="37">
        <f t="shared" si="14"/>
      </c>
      <c r="L146" s="31"/>
      <c r="M146" s="33"/>
      <c r="N146" s="34"/>
      <c r="O146" s="36"/>
      <c r="P146" s="37">
        <f t="shared" si="15"/>
      </c>
      <c r="Q146" s="54"/>
      <c r="S146" s="110"/>
      <c r="T146" s="12"/>
      <c r="U146" s="12"/>
      <c r="V146" s="12"/>
      <c r="W146" s="19"/>
      <c r="X146" s="111"/>
    </row>
    <row r="147" spans="1:24" ht="12.75" hidden="1" outlineLevel="1">
      <c r="A147" s="60"/>
      <c r="B147" s="61"/>
      <c r="C147" s="64"/>
      <c r="D147" s="63"/>
      <c r="E147" s="38" t="s">
        <v>75</v>
      </c>
      <c r="F147" s="45" t="s">
        <v>1</v>
      </c>
      <c r="G147" s="42"/>
      <c r="H147" s="43"/>
      <c r="I147" s="43"/>
      <c r="J147" s="36">
        <v>100</v>
      </c>
      <c r="K147" s="37">
        <f t="shared" si="14"/>
        <v>100</v>
      </c>
      <c r="L147" s="31"/>
      <c r="M147" s="45" t="str">
        <f>+F147</f>
        <v>Item</v>
      </c>
      <c r="N147" s="42"/>
      <c r="O147" s="36">
        <v>50</v>
      </c>
      <c r="P147" s="37">
        <f t="shared" si="15"/>
        <v>50</v>
      </c>
      <c r="Q147" s="54"/>
      <c r="S147" s="110" t="str">
        <f>+E147</f>
        <v>Sundry materials and tools (staples, etc)</v>
      </c>
      <c r="T147" s="114">
        <f>+K147</f>
        <v>100</v>
      </c>
      <c r="U147" s="12"/>
      <c r="V147" s="12">
        <v>25</v>
      </c>
      <c r="W147" s="19">
        <f>ROUND(+IF(V147&gt;0,T147/V147,""),2)</f>
        <v>4</v>
      </c>
      <c r="X147" s="111"/>
    </row>
    <row r="148" spans="1:24" ht="12.75" hidden="1" outlineLevel="1">
      <c r="A148" s="60"/>
      <c r="B148" s="61"/>
      <c r="C148" s="64"/>
      <c r="D148" s="63"/>
      <c r="E148" s="38"/>
      <c r="F148" s="45"/>
      <c r="G148" s="42"/>
      <c r="H148" s="43"/>
      <c r="I148" s="43"/>
      <c r="J148" s="36">
        <f>IF(+I148+H148&gt;0,I148+(H148*labour),"")</f>
      </c>
      <c r="K148" s="37">
        <f t="shared" si="14"/>
      </c>
      <c r="L148" s="31"/>
      <c r="M148" s="45"/>
      <c r="N148" s="42"/>
      <c r="O148" s="36"/>
      <c r="P148" s="37">
        <f t="shared" si="15"/>
      </c>
      <c r="Q148" s="54"/>
      <c r="S148" s="110"/>
      <c r="T148" s="12"/>
      <c r="U148" s="12"/>
      <c r="V148" s="12"/>
      <c r="W148" s="19"/>
      <c r="X148" s="111"/>
    </row>
    <row r="149" spans="1:24" ht="12.75" hidden="1" outlineLevel="1">
      <c r="A149" s="60"/>
      <c r="B149" s="61"/>
      <c r="C149" s="64"/>
      <c r="D149" s="63"/>
      <c r="E149" s="38" t="s">
        <v>78</v>
      </c>
      <c r="F149" s="45" t="s">
        <v>1</v>
      </c>
      <c r="G149" s="42"/>
      <c r="H149" s="43"/>
      <c r="I149" s="43"/>
      <c r="J149" s="36">
        <v>100</v>
      </c>
      <c r="K149" s="37">
        <f t="shared" si="14"/>
        <v>100</v>
      </c>
      <c r="L149" s="31"/>
      <c r="M149" s="33" t="str">
        <f>+F149</f>
        <v>Item</v>
      </c>
      <c r="N149" s="42"/>
      <c r="O149" s="36">
        <f>+J149</f>
        <v>100</v>
      </c>
      <c r="P149" s="37">
        <f t="shared" si="15"/>
        <v>100</v>
      </c>
      <c r="Q149" s="54"/>
      <c r="S149" s="110" t="str">
        <f>+E149</f>
        <v>Delivery of materials</v>
      </c>
      <c r="T149" s="114">
        <f>+K149</f>
        <v>100</v>
      </c>
      <c r="U149" s="12"/>
      <c r="V149" s="12">
        <v>25</v>
      </c>
      <c r="W149" s="19">
        <f>ROUND(+IF(V149&gt;0,T149/V149,""),2)</f>
        <v>4</v>
      </c>
      <c r="X149" s="111"/>
    </row>
    <row r="150" spans="1:24" ht="12.75" hidden="1" outlineLevel="1">
      <c r="A150" s="60"/>
      <c r="B150" s="61"/>
      <c r="C150" s="64"/>
      <c r="D150" s="63"/>
      <c r="E150" s="38"/>
      <c r="F150" s="45"/>
      <c r="G150" s="42"/>
      <c r="H150" s="43"/>
      <c r="I150" s="43"/>
      <c r="J150" s="36"/>
      <c r="K150" s="37"/>
      <c r="L150" s="31"/>
      <c r="M150" s="33"/>
      <c r="N150" s="42"/>
      <c r="O150" s="36"/>
      <c r="P150" s="37"/>
      <c r="Q150" s="54"/>
      <c r="S150" s="110"/>
      <c r="T150" s="114"/>
      <c r="U150" s="12"/>
      <c r="V150" s="12"/>
      <c r="W150" s="19"/>
      <c r="X150" s="111"/>
    </row>
    <row r="151" spans="1:24" ht="12.75" hidden="1" outlineLevel="1">
      <c r="A151" s="60"/>
      <c r="B151" s="61"/>
      <c r="C151" s="64"/>
      <c r="D151" s="63"/>
      <c r="E151" s="38" t="s">
        <v>362</v>
      </c>
      <c r="F151" s="33">
        <v>10</v>
      </c>
      <c r="G151" s="34" t="s">
        <v>363</v>
      </c>
      <c r="H151" s="39"/>
      <c r="I151" s="39"/>
      <c r="J151" s="36">
        <f>SUM(K137:K150)</f>
        <v>4336.993138038278</v>
      </c>
      <c r="K151" s="37">
        <f>+J151*F151%</f>
        <v>433.6993138038278</v>
      </c>
      <c r="L151" s="31"/>
      <c r="M151" s="33"/>
      <c r="N151" s="42"/>
      <c r="O151" s="36"/>
      <c r="P151" s="37"/>
      <c r="Q151" s="54"/>
      <c r="S151" s="110"/>
      <c r="T151" s="114"/>
      <c r="U151" s="12"/>
      <c r="V151" s="12"/>
      <c r="W151" s="19"/>
      <c r="X151" s="111"/>
    </row>
    <row r="152" spans="1:24" ht="12.75" hidden="1" outlineLevel="1">
      <c r="A152" s="60"/>
      <c r="B152" s="61"/>
      <c r="C152" s="64"/>
      <c r="D152" s="63"/>
      <c r="E152" s="32"/>
      <c r="F152" s="33"/>
      <c r="G152" s="42"/>
      <c r="H152" s="43"/>
      <c r="I152" s="43"/>
      <c r="J152" s="36">
        <f>IF(+I152+H152&gt;0,I152+(H152*labour),"")</f>
      </c>
      <c r="K152" s="37">
        <f t="shared" si="14"/>
      </c>
      <c r="L152" s="31"/>
      <c r="M152" s="33"/>
      <c r="N152" s="42"/>
      <c r="O152" s="36"/>
      <c r="P152" s="37">
        <f t="shared" si="15"/>
      </c>
      <c r="Q152" s="54"/>
      <c r="S152" s="110"/>
      <c r="T152" s="12"/>
      <c r="U152" s="12"/>
      <c r="V152" s="12"/>
      <c r="W152" s="19"/>
      <c r="X152" s="111"/>
    </row>
    <row r="153" spans="1:24" ht="12.75" collapsed="1">
      <c r="A153" s="60"/>
      <c r="B153" s="61"/>
      <c r="C153" s="64"/>
      <c r="D153" s="63"/>
      <c r="E153" s="38"/>
      <c r="F153" s="33"/>
      <c r="G153" s="42"/>
      <c r="H153" s="43"/>
      <c r="I153" s="43"/>
      <c r="J153" s="36">
        <f>IF(+I153+H153&gt;0,I153+(H153*labour),"")</f>
      </c>
      <c r="K153" s="37">
        <f t="shared" si="14"/>
      </c>
      <c r="L153" s="31"/>
      <c r="M153" s="33"/>
      <c r="N153" s="42"/>
      <c r="O153" s="36"/>
      <c r="P153" s="37">
        <f t="shared" si="15"/>
      </c>
      <c r="Q153" s="54"/>
      <c r="S153" s="110"/>
      <c r="T153" s="12"/>
      <c r="U153" s="12"/>
      <c r="V153" s="12"/>
      <c r="W153" s="19"/>
      <c r="X153" s="111"/>
    </row>
    <row r="154" spans="1:24" ht="12.75">
      <c r="A154" s="60"/>
      <c r="B154" s="61"/>
      <c r="C154" s="64"/>
      <c r="D154" s="63"/>
      <c r="E154" s="32" t="s">
        <v>96</v>
      </c>
      <c r="F154" s="33"/>
      <c r="G154" s="42"/>
      <c r="H154" s="43"/>
      <c r="I154" s="43"/>
      <c r="J154" s="36">
        <f>IF(+I154+H154&gt;0,I154+(H154*labour),"")</f>
      </c>
      <c r="K154" s="53">
        <f>SUM(K155:K159)</f>
        <v>12357.125000000002</v>
      </c>
      <c r="L154" s="31" t="s">
        <v>6</v>
      </c>
      <c r="M154" s="72"/>
      <c r="N154" s="73"/>
      <c r="O154" s="74"/>
      <c r="P154" s="75">
        <f t="shared" si="15"/>
      </c>
      <c r="Q154" s="76"/>
      <c r="S154" s="110" t="s">
        <v>262</v>
      </c>
      <c r="T154" s="114">
        <f>11*20</f>
        <v>220</v>
      </c>
      <c r="U154" s="12"/>
      <c r="V154" s="12">
        <v>10</v>
      </c>
      <c r="W154" s="112">
        <f>ROUND(+IF(V154&gt;0,T154/V154,""),2)</f>
        <v>22</v>
      </c>
      <c r="X154" s="111" t="s">
        <v>263</v>
      </c>
    </row>
    <row r="155" spans="1:24" ht="12.75">
      <c r="A155" s="60"/>
      <c r="B155" s="61"/>
      <c r="C155" s="64"/>
      <c r="D155" s="63"/>
      <c r="E155" s="38"/>
      <c r="F155" s="33"/>
      <c r="G155" s="34"/>
      <c r="H155" s="39"/>
      <c r="I155" s="39"/>
      <c r="J155" s="36">
        <f>IF(+I155+H155&gt;0,I155+(H155*labour),"")</f>
      </c>
      <c r="K155" s="37">
        <f>+IF(F155="item",J155,IF(F155&lt;&gt;0,F155*J155,""))</f>
      </c>
      <c r="L155" s="31"/>
      <c r="M155" s="72"/>
      <c r="N155" s="73"/>
      <c r="O155" s="74"/>
      <c r="P155" s="75">
        <f t="shared" si="15"/>
      </c>
      <c r="Q155" s="76"/>
      <c r="S155" s="110"/>
      <c r="T155" s="12"/>
      <c r="U155" s="12"/>
      <c r="V155" s="12"/>
      <c r="W155" s="19"/>
      <c r="X155" s="111"/>
    </row>
    <row r="156" spans="1:24" ht="38.25" hidden="1" outlineLevel="1">
      <c r="A156" s="60"/>
      <c r="B156" s="61"/>
      <c r="C156" s="64"/>
      <c r="D156" s="63"/>
      <c r="E156" s="38"/>
      <c r="F156" s="33">
        <v>22</v>
      </c>
      <c r="G156" s="42" t="s">
        <v>8</v>
      </c>
      <c r="H156" s="43"/>
      <c r="I156" s="43"/>
      <c r="J156" s="36">
        <f>sash</f>
        <v>510.62500000000006</v>
      </c>
      <c r="K156" s="37">
        <f>+IF(F156="item",J156,IF(F156&lt;&gt;0,F156*J156,""))</f>
        <v>11233.750000000002</v>
      </c>
      <c r="L156" s="31" t="s">
        <v>99</v>
      </c>
      <c r="M156" s="72"/>
      <c r="N156" s="73"/>
      <c r="O156" s="74"/>
      <c r="P156" s="75">
        <f t="shared" si="15"/>
      </c>
      <c r="Q156" s="76"/>
      <c r="S156" s="110"/>
      <c r="T156" s="12"/>
      <c r="U156" s="12"/>
      <c r="V156" s="12"/>
      <c r="W156" s="19"/>
      <c r="X156" s="111"/>
    </row>
    <row r="157" spans="1:24" ht="12.75" hidden="1" outlineLevel="1">
      <c r="A157" s="60"/>
      <c r="B157" s="61"/>
      <c r="C157" s="64"/>
      <c r="D157" s="63"/>
      <c r="E157" s="38"/>
      <c r="F157" s="33"/>
      <c r="G157" s="42"/>
      <c r="H157" s="43"/>
      <c r="I157" s="43"/>
      <c r="J157" s="36"/>
      <c r="K157" s="37"/>
      <c r="L157" s="31"/>
      <c r="M157" s="72"/>
      <c r="N157" s="73"/>
      <c r="O157" s="74"/>
      <c r="P157" s="75"/>
      <c r="Q157" s="76"/>
      <c r="S157" s="110"/>
      <c r="T157" s="12"/>
      <c r="U157" s="12"/>
      <c r="V157" s="12"/>
      <c r="W157" s="19"/>
      <c r="X157" s="111"/>
    </row>
    <row r="158" spans="1:24" ht="12.75" hidden="1" outlineLevel="1">
      <c r="A158" s="60"/>
      <c r="B158" s="61"/>
      <c r="C158" s="64"/>
      <c r="D158" s="63"/>
      <c r="E158" s="38" t="s">
        <v>362</v>
      </c>
      <c r="F158" s="33">
        <v>10</v>
      </c>
      <c r="G158" s="34" t="s">
        <v>363</v>
      </c>
      <c r="H158" s="39"/>
      <c r="I158" s="39"/>
      <c r="J158" s="36">
        <f>SUM(K156:K157)</f>
        <v>11233.750000000002</v>
      </c>
      <c r="K158" s="37">
        <f>+J158*F158%</f>
        <v>1123.3750000000002</v>
      </c>
      <c r="L158" s="31"/>
      <c r="M158" s="72"/>
      <c r="N158" s="73"/>
      <c r="O158" s="74"/>
      <c r="P158" s="75"/>
      <c r="Q158" s="76"/>
      <c r="S158" s="110"/>
      <c r="T158" s="12"/>
      <c r="U158" s="12"/>
      <c r="V158" s="12"/>
      <c r="W158" s="19"/>
      <c r="X158" s="111"/>
    </row>
    <row r="159" spans="1:24" ht="12.75" hidden="1" outlineLevel="1">
      <c r="A159" s="60"/>
      <c r="B159" s="61"/>
      <c r="C159" s="64"/>
      <c r="D159" s="63"/>
      <c r="E159" s="32"/>
      <c r="F159" s="33"/>
      <c r="G159" s="42"/>
      <c r="H159" s="43"/>
      <c r="I159" s="43"/>
      <c r="J159" s="36">
        <f aca="true" t="shared" si="16" ref="J159:J181">IF(+I159+H159&gt;0,I159+(H159*labour),"")</f>
      </c>
      <c r="K159" s="37">
        <f>+IF(F159="item",J159,IF(F159&lt;&gt;0,F159*J159,""))</f>
      </c>
      <c r="L159" s="31"/>
      <c r="M159" s="72"/>
      <c r="N159" s="73"/>
      <c r="O159" s="74"/>
      <c r="P159" s="75">
        <f t="shared" si="15"/>
      </c>
      <c r="Q159" s="76"/>
      <c r="S159" s="110"/>
      <c r="T159" s="12"/>
      <c r="U159" s="12"/>
      <c r="V159" s="12"/>
      <c r="W159" s="19"/>
      <c r="X159" s="111"/>
    </row>
    <row r="160" spans="1:24" ht="12.75" collapsed="1">
      <c r="A160" s="60"/>
      <c r="B160" s="61"/>
      <c r="C160" s="64"/>
      <c r="D160" s="63"/>
      <c r="E160" s="38"/>
      <c r="F160" s="33"/>
      <c r="G160" s="42"/>
      <c r="H160" s="43"/>
      <c r="I160" s="43"/>
      <c r="J160" s="36">
        <f t="shared" si="16"/>
      </c>
      <c r="K160" s="37">
        <f>+IF(F160="item",J160,IF(F160&lt;&gt;0,F160*J160,""))</f>
      </c>
      <c r="L160" s="31"/>
      <c r="M160" s="33"/>
      <c r="N160" s="42"/>
      <c r="O160" s="36"/>
      <c r="P160" s="37">
        <f t="shared" si="15"/>
      </c>
      <c r="Q160" s="54"/>
      <c r="S160" s="110"/>
      <c r="T160" s="12"/>
      <c r="U160" s="12"/>
      <c r="V160" s="12"/>
      <c r="W160" s="19"/>
      <c r="X160" s="111"/>
    </row>
    <row r="161" spans="1:24" ht="38.25">
      <c r="A161" s="60"/>
      <c r="B161" s="61"/>
      <c r="C161" s="64"/>
      <c r="D161" s="63"/>
      <c r="E161" s="32" t="s">
        <v>100</v>
      </c>
      <c r="F161" s="33"/>
      <c r="G161" s="42"/>
      <c r="H161" s="43"/>
      <c r="I161" s="43"/>
      <c r="J161" s="36">
        <f t="shared" si="16"/>
      </c>
      <c r="K161" s="53">
        <f>(1650+250)*1.2</f>
        <v>2280</v>
      </c>
      <c r="L161" s="31" t="s">
        <v>103</v>
      </c>
      <c r="M161" s="72"/>
      <c r="N161" s="73"/>
      <c r="O161" s="74"/>
      <c r="P161" s="75">
        <f t="shared" si="15"/>
      </c>
      <c r="Q161" s="76"/>
      <c r="S161" s="110"/>
      <c r="T161" s="12"/>
      <c r="U161" s="12"/>
      <c r="V161" s="12"/>
      <c r="W161" s="19"/>
      <c r="X161" s="116" t="s">
        <v>264</v>
      </c>
    </row>
    <row r="162" spans="1:24" ht="25.5" hidden="1" outlineLevel="1">
      <c r="A162" s="60"/>
      <c r="B162" s="61"/>
      <c r="C162" s="64"/>
      <c r="D162" s="63"/>
      <c r="E162" s="38"/>
      <c r="F162" s="33"/>
      <c r="G162" s="42"/>
      <c r="H162" s="43"/>
      <c r="I162" s="43"/>
      <c r="J162" s="36">
        <f t="shared" si="16"/>
      </c>
      <c r="K162" s="37">
        <f>+IF(F162="item",J162,IF(F162&lt;&gt;0,F162*J162,""))</f>
      </c>
      <c r="L162" s="31" t="s">
        <v>367</v>
      </c>
      <c r="M162" s="72"/>
      <c r="N162" s="73"/>
      <c r="O162" s="74"/>
      <c r="P162" s="75">
        <f t="shared" si="15"/>
      </c>
      <c r="Q162" s="76"/>
      <c r="S162" s="110"/>
      <c r="T162" s="12"/>
      <c r="U162" s="12"/>
      <c r="V162" s="12"/>
      <c r="W162" s="19"/>
      <c r="X162" s="111"/>
    </row>
    <row r="163" spans="1:24" ht="12.75" hidden="1" outlineLevel="1">
      <c r="A163" s="60"/>
      <c r="B163" s="61"/>
      <c r="C163" s="64"/>
      <c r="D163" s="63"/>
      <c r="E163" s="38"/>
      <c r="F163" s="33"/>
      <c r="G163" s="42"/>
      <c r="H163" s="43"/>
      <c r="I163" s="43"/>
      <c r="J163" s="36">
        <f t="shared" si="16"/>
      </c>
      <c r="K163" s="37">
        <f>+IF(F163="item",J163,IF(F163&lt;&gt;0,F163*J163,""))</f>
      </c>
      <c r="L163" s="31"/>
      <c r="M163" s="72"/>
      <c r="N163" s="73"/>
      <c r="O163" s="74"/>
      <c r="P163" s="75">
        <f t="shared" si="15"/>
      </c>
      <c r="Q163" s="76"/>
      <c r="S163" s="110"/>
      <c r="T163" s="12"/>
      <c r="U163" s="12"/>
      <c r="V163" s="12"/>
      <c r="W163" s="19"/>
      <c r="X163" s="111"/>
    </row>
    <row r="164" spans="1:24" ht="12.75" collapsed="1">
      <c r="A164" s="60"/>
      <c r="B164" s="61"/>
      <c r="C164" s="64"/>
      <c r="D164" s="63"/>
      <c r="E164" s="38"/>
      <c r="F164" s="33"/>
      <c r="G164" s="42"/>
      <c r="H164" s="43"/>
      <c r="I164" s="43"/>
      <c r="J164" s="36">
        <f t="shared" si="16"/>
      </c>
      <c r="K164" s="37">
        <f>+IF(F164="item",J164,IF(F164&lt;&gt;0,F164*J164,""))</f>
      </c>
      <c r="L164" s="31"/>
      <c r="M164" s="33"/>
      <c r="N164" s="42"/>
      <c r="O164" s="36"/>
      <c r="P164" s="37">
        <f t="shared" si="15"/>
      </c>
      <c r="Q164" s="54"/>
      <c r="S164" s="110"/>
      <c r="T164" s="12"/>
      <c r="U164" s="12"/>
      <c r="V164" s="12"/>
      <c r="W164" s="19"/>
      <c r="X164" s="111"/>
    </row>
    <row r="165" spans="1:24" ht="12.75">
      <c r="A165" s="60"/>
      <c r="B165" s="61"/>
      <c r="C165" s="64"/>
      <c r="D165" s="63"/>
      <c r="E165" s="38"/>
      <c r="F165" s="33"/>
      <c r="G165" s="42"/>
      <c r="H165" s="43"/>
      <c r="I165" s="43"/>
      <c r="J165" s="36">
        <f t="shared" si="16"/>
      </c>
      <c r="K165" s="37">
        <f>+IF(F165="item",J165,IF(F165&lt;&gt;0,F165*J165,""))</f>
      </c>
      <c r="L165" s="31"/>
      <c r="M165" s="33"/>
      <c r="N165" s="42"/>
      <c r="O165" s="36"/>
      <c r="P165" s="37">
        <f t="shared" si="15"/>
      </c>
      <c r="Q165" s="54"/>
      <c r="S165" s="110"/>
      <c r="T165" s="12"/>
      <c r="U165" s="12"/>
      <c r="V165" s="12"/>
      <c r="W165" s="19"/>
      <c r="X165" s="111"/>
    </row>
    <row r="166" spans="1:24" ht="12.75">
      <c r="A166" s="60"/>
      <c r="B166" s="61"/>
      <c r="C166" s="64"/>
      <c r="D166" s="63"/>
      <c r="E166" s="32" t="s">
        <v>104</v>
      </c>
      <c r="F166" s="33"/>
      <c r="G166" s="42"/>
      <c r="H166" s="43"/>
      <c r="I166" s="43"/>
      <c r="J166" s="36">
        <f t="shared" si="16"/>
      </c>
      <c r="K166" s="53">
        <f>SUM(K167:K184)</f>
        <v>1846.2954400000003</v>
      </c>
      <c r="L166" s="31"/>
      <c r="M166" s="33"/>
      <c r="N166" s="42"/>
      <c r="O166" s="36"/>
      <c r="P166" s="53">
        <f>SUM(P167:P182)</f>
        <v>799.6090909090909</v>
      </c>
      <c r="Q166" s="54"/>
      <c r="S166" s="110"/>
      <c r="T166" s="12"/>
      <c r="U166" s="12"/>
      <c r="V166" s="12"/>
      <c r="W166" s="112">
        <f>SUM(W167:W182)</f>
        <v>27.979999999999997</v>
      </c>
      <c r="X166" s="111"/>
    </row>
    <row r="167" spans="1:24" ht="12.75">
      <c r="A167" s="60"/>
      <c r="B167" s="61"/>
      <c r="C167" s="64"/>
      <c r="D167" s="63"/>
      <c r="E167" s="38"/>
      <c r="F167" s="33"/>
      <c r="G167" s="42"/>
      <c r="H167" s="43"/>
      <c r="I167" s="43"/>
      <c r="J167" s="36">
        <f t="shared" si="16"/>
      </c>
      <c r="K167" s="37">
        <f aca="true" t="shared" si="17" ref="K167:K188">+IF(F167="item",J167,IF(F167&lt;&gt;0,F167*J167,""))</f>
      </c>
      <c r="L167" s="31"/>
      <c r="M167" s="33"/>
      <c r="N167" s="42"/>
      <c r="O167" s="36"/>
      <c r="P167" s="37">
        <f aca="true" t="shared" si="18" ref="P167:P197">+IF(M167="item",O167,IF(M167&lt;&gt;0,M167*O167,""))</f>
      </c>
      <c r="Q167" s="54"/>
      <c r="S167" s="113" t="s">
        <v>257</v>
      </c>
      <c r="T167" s="12"/>
      <c r="U167" s="12"/>
      <c r="V167" s="12"/>
      <c r="W167" s="19"/>
      <c r="X167" s="111"/>
    </row>
    <row r="168" spans="1:24" ht="12.75" hidden="1" outlineLevel="1">
      <c r="A168" s="60"/>
      <c r="B168" s="61"/>
      <c r="C168" s="64"/>
      <c r="D168" s="63"/>
      <c r="E168" s="38" t="s">
        <v>62</v>
      </c>
      <c r="F168" s="33">
        <f>ROUND(D174,0)</f>
        <v>94</v>
      </c>
      <c r="G168" s="42" t="s">
        <v>35</v>
      </c>
      <c r="H168" s="43"/>
      <c r="I168" s="43">
        <f>+felt</f>
        <v>3.2016000000000004</v>
      </c>
      <c r="J168" s="36">
        <f t="shared" si="16"/>
        <v>3.2016000000000004</v>
      </c>
      <c r="K168" s="37">
        <f t="shared" si="17"/>
        <v>300.95040000000006</v>
      </c>
      <c r="L168" s="31"/>
      <c r="M168" s="33">
        <v>200</v>
      </c>
      <c r="N168" s="42" t="s">
        <v>35</v>
      </c>
      <c r="O168" s="36">
        <f>+I168/1.1</f>
        <v>2.9105454545454545</v>
      </c>
      <c r="P168" s="37">
        <f t="shared" si="18"/>
        <v>582.1090909090909</v>
      </c>
      <c r="Q168" s="54" t="s">
        <v>119</v>
      </c>
      <c r="S168" s="110" t="str">
        <f>+E168</f>
        <v>Underlay</v>
      </c>
      <c r="T168" s="114">
        <f>+K168</f>
        <v>300.95040000000006</v>
      </c>
      <c r="U168" s="12"/>
      <c r="V168" s="12">
        <v>60</v>
      </c>
      <c r="W168" s="19">
        <f>ROUND(+IF(V168&gt;0,T168/V168,""),2)</f>
        <v>5.02</v>
      </c>
      <c r="X168" s="111"/>
    </row>
    <row r="169" spans="1:24" ht="12.75" hidden="1" outlineLevel="1">
      <c r="A169" s="60"/>
      <c r="B169" s="137">
        <v>1.22</v>
      </c>
      <c r="C169" s="64">
        <v>7.7</v>
      </c>
      <c r="D169" s="63"/>
      <c r="E169" s="38"/>
      <c r="F169" s="33"/>
      <c r="G169" s="42"/>
      <c r="H169" s="43"/>
      <c r="I169" s="43"/>
      <c r="J169" s="36"/>
      <c r="K169" s="37"/>
      <c r="L169" s="31"/>
      <c r="M169" s="33"/>
      <c r="N169" s="42"/>
      <c r="O169" s="36"/>
      <c r="P169" s="37"/>
      <c r="Q169" s="54"/>
      <c r="S169" s="110"/>
      <c r="T169" s="114"/>
      <c r="U169" s="12"/>
      <c r="V169" s="12"/>
      <c r="W169" s="19"/>
      <c r="X169" s="111"/>
    </row>
    <row r="170" spans="1:24" ht="12.75" hidden="1" outlineLevel="1">
      <c r="A170" s="60"/>
      <c r="B170" s="61"/>
      <c r="C170" s="135">
        <v>7.1</v>
      </c>
      <c r="D170" s="63">
        <f>+C170*C169*B169</f>
        <v>66.6974</v>
      </c>
      <c r="E170" s="38"/>
      <c r="F170" s="33"/>
      <c r="G170" s="42"/>
      <c r="H170" s="43"/>
      <c r="I170" s="43"/>
      <c r="J170" s="36"/>
      <c r="K170" s="37"/>
      <c r="L170" s="31"/>
      <c r="M170" s="33"/>
      <c r="N170" s="42"/>
      <c r="O170" s="36"/>
      <c r="P170" s="37"/>
      <c r="Q170" s="54"/>
      <c r="S170" s="110"/>
      <c r="T170" s="114"/>
      <c r="U170" s="12"/>
      <c r="V170" s="12"/>
      <c r="W170" s="19"/>
      <c r="X170" s="111"/>
    </row>
    <row r="171" spans="1:24" ht="12.75" hidden="1" outlineLevel="1">
      <c r="A171" s="60"/>
      <c r="B171" s="137">
        <v>1.22</v>
      </c>
      <c r="C171" s="64">
        <v>3.8</v>
      </c>
      <c r="D171" s="63"/>
      <c r="E171" s="38"/>
      <c r="F171" s="33"/>
      <c r="G171" s="42"/>
      <c r="H171" s="43"/>
      <c r="I171" s="43"/>
      <c r="J171" s="36"/>
      <c r="K171" s="37"/>
      <c r="L171" s="31"/>
      <c r="M171" s="33"/>
      <c r="N171" s="42"/>
      <c r="O171" s="36"/>
      <c r="P171" s="37"/>
      <c r="Q171" s="54"/>
      <c r="S171" s="110"/>
      <c r="T171" s="114"/>
      <c r="U171" s="12"/>
      <c r="V171" s="12"/>
      <c r="W171" s="19"/>
      <c r="X171" s="111"/>
    </row>
    <row r="172" spans="1:24" ht="12.75" hidden="1" outlineLevel="1">
      <c r="A172" s="60"/>
      <c r="B172" s="61"/>
      <c r="C172" s="135">
        <v>5.9</v>
      </c>
      <c r="D172" s="63">
        <f>+C172*C171*B171</f>
        <v>27.352400000000003</v>
      </c>
      <c r="E172" s="38"/>
      <c r="F172" s="33"/>
      <c r="G172" s="42"/>
      <c r="H172" s="43"/>
      <c r="I172" s="43"/>
      <c r="J172" s="36"/>
      <c r="K172" s="37"/>
      <c r="L172" s="31"/>
      <c r="M172" s="33"/>
      <c r="N172" s="42"/>
      <c r="O172" s="36"/>
      <c r="P172" s="37"/>
      <c r="Q172" s="54"/>
      <c r="S172" s="110"/>
      <c r="T172" s="114"/>
      <c r="U172" s="12"/>
      <c r="V172" s="12"/>
      <c r="W172" s="19"/>
      <c r="X172" s="111"/>
    </row>
    <row r="173" spans="1:24" ht="12.75" hidden="1" outlineLevel="1">
      <c r="A173" s="60"/>
      <c r="B173" s="61"/>
      <c r="C173" s="64"/>
      <c r="D173" s="63"/>
      <c r="E173" s="38"/>
      <c r="F173" s="33"/>
      <c r="G173" s="42"/>
      <c r="H173" s="43"/>
      <c r="I173" s="43"/>
      <c r="J173" s="36"/>
      <c r="K173" s="37"/>
      <c r="L173" s="31"/>
      <c r="M173" s="33"/>
      <c r="N173" s="42"/>
      <c r="O173" s="36"/>
      <c r="P173" s="37"/>
      <c r="Q173" s="54"/>
      <c r="S173" s="110"/>
      <c r="T173" s="114"/>
      <c r="U173" s="12"/>
      <c r="V173" s="12"/>
      <c r="W173" s="19"/>
      <c r="X173" s="111"/>
    </row>
    <row r="174" spans="1:24" ht="12.75" hidden="1" outlineLevel="1">
      <c r="A174" s="60"/>
      <c r="B174" s="61"/>
      <c r="C174" s="64"/>
      <c r="D174" s="65">
        <f>SUM(D169:D173)</f>
        <v>94.0498</v>
      </c>
      <c r="E174" s="38"/>
      <c r="F174" s="33"/>
      <c r="G174" s="42"/>
      <c r="H174" s="43"/>
      <c r="I174" s="43"/>
      <c r="J174" s="36"/>
      <c r="K174" s="37"/>
      <c r="L174" s="31"/>
      <c r="M174" s="33"/>
      <c r="N174" s="42"/>
      <c r="O174" s="36"/>
      <c r="P174" s="37"/>
      <c r="Q174" s="54"/>
      <c r="S174" s="110"/>
      <c r="T174" s="114"/>
      <c r="U174" s="12"/>
      <c r="V174" s="12"/>
      <c r="W174" s="19"/>
      <c r="X174" s="111"/>
    </row>
    <row r="175" spans="1:24" ht="12.75" hidden="1" outlineLevel="1">
      <c r="A175" s="60"/>
      <c r="B175" s="61"/>
      <c r="C175" s="64"/>
      <c r="D175" s="63"/>
      <c r="E175" s="38"/>
      <c r="F175" s="33"/>
      <c r="G175" s="42"/>
      <c r="H175" s="43"/>
      <c r="I175" s="43"/>
      <c r="J175" s="36">
        <f t="shared" si="16"/>
      </c>
      <c r="K175" s="37">
        <f t="shared" si="17"/>
      </c>
      <c r="L175" s="31"/>
      <c r="M175" s="33"/>
      <c r="N175" s="42"/>
      <c r="O175" s="36"/>
      <c r="P175" s="37">
        <f t="shared" si="18"/>
      </c>
      <c r="Q175" s="54"/>
      <c r="S175" s="110"/>
      <c r="T175" s="12"/>
      <c r="U175" s="12"/>
      <c r="V175" s="12"/>
      <c r="W175" s="19"/>
      <c r="X175" s="111"/>
    </row>
    <row r="176" spans="1:24" ht="12.75" hidden="1" outlineLevel="1">
      <c r="A176" s="60"/>
      <c r="B176" s="61"/>
      <c r="C176" s="64"/>
      <c r="D176" s="63"/>
      <c r="E176" s="38" t="s">
        <v>107</v>
      </c>
      <c r="F176" s="33">
        <f>+F168*2.5</f>
        <v>235</v>
      </c>
      <c r="G176" s="42" t="s">
        <v>108</v>
      </c>
      <c r="H176" s="43"/>
      <c r="I176" s="43">
        <v>0.5</v>
      </c>
      <c r="J176" s="36">
        <f t="shared" si="16"/>
        <v>0.5</v>
      </c>
      <c r="K176" s="37">
        <f t="shared" si="17"/>
        <v>117.5</v>
      </c>
      <c r="L176" s="31"/>
      <c r="M176" s="33">
        <f>+F176</f>
        <v>235</v>
      </c>
      <c r="N176" s="42"/>
      <c r="O176" s="36">
        <f>+I176</f>
        <v>0.5</v>
      </c>
      <c r="P176" s="37">
        <f t="shared" si="18"/>
        <v>117.5</v>
      </c>
      <c r="Q176" s="54"/>
      <c r="S176" s="110" t="str">
        <f>+E176</f>
        <v>Battens</v>
      </c>
      <c r="T176" s="114">
        <f>+K176</f>
        <v>117.5</v>
      </c>
      <c r="U176" s="12"/>
      <c r="V176" s="12">
        <v>60</v>
      </c>
      <c r="W176" s="19">
        <f>ROUND(+IF(V176&gt;0,T176/V176,""),2)</f>
        <v>1.96</v>
      </c>
      <c r="X176" s="111"/>
    </row>
    <row r="177" spans="1:24" ht="12.75" hidden="1" outlineLevel="1">
      <c r="A177" s="60"/>
      <c r="B177" s="61"/>
      <c r="C177" s="64"/>
      <c r="D177" s="63"/>
      <c r="E177" s="38"/>
      <c r="F177" s="33"/>
      <c r="G177" s="42"/>
      <c r="H177" s="43"/>
      <c r="I177" s="43"/>
      <c r="J177" s="36">
        <f t="shared" si="16"/>
      </c>
      <c r="K177" s="37">
        <f t="shared" si="17"/>
      </c>
      <c r="L177" s="31"/>
      <c r="M177" s="33"/>
      <c r="N177" s="42"/>
      <c r="O177" s="36"/>
      <c r="P177" s="37">
        <f t="shared" si="18"/>
      </c>
      <c r="Q177" s="54"/>
      <c r="S177" s="110"/>
      <c r="T177" s="12"/>
      <c r="U177" s="12"/>
      <c r="V177" s="12"/>
      <c r="W177" s="19"/>
      <c r="X177" s="111"/>
    </row>
    <row r="178" spans="1:24" ht="12.75" hidden="1" outlineLevel="1">
      <c r="A178" s="60"/>
      <c r="B178" s="61"/>
      <c r="C178" s="64"/>
      <c r="D178" s="63"/>
      <c r="E178" s="38" t="s">
        <v>109</v>
      </c>
      <c r="F178" s="33" t="s">
        <v>1</v>
      </c>
      <c r="G178" s="42"/>
      <c r="H178" s="43"/>
      <c r="I178" s="43">
        <v>50</v>
      </c>
      <c r="J178" s="36">
        <f t="shared" si="16"/>
        <v>50</v>
      </c>
      <c r="K178" s="37">
        <f t="shared" si="17"/>
        <v>50</v>
      </c>
      <c r="L178" s="31"/>
      <c r="M178" s="33" t="str">
        <f>+F178</f>
        <v>Item</v>
      </c>
      <c r="N178" s="42"/>
      <c r="O178" s="36">
        <f>+I178</f>
        <v>50</v>
      </c>
      <c r="P178" s="37">
        <f t="shared" si="18"/>
        <v>50</v>
      </c>
      <c r="Q178" s="54"/>
      <c r="S178" s="110" t="str">
        <f>+E178</f>
        <v>Caulk, staples, sundry materials</v>
      </c>
      <c r="T178" s="114">
        <f>+K178</f>
        <v>50</v>
      </c>
      <c r="U178" s="12"/>
      <c r="V178" s="12">
        <v>60</v>
      </c>
      <c r="W178" s="19">
        <f>ROUND(+IF(V178&gt;0,T178/V178,""),2)</f>
        <v>0.83</v>
      </c>
      <c r="X178" s="111"/>
    </row>
    <row r="179" spans="1:24" ht="12.75" hidden="1" outlineLevel="1">
      <c r="A179" s="60"/>
      <c r="B179" s="61"/>
      <c r="C179" s="64"/>
      <c r="D179" s="63"/>
      <c r="E179" s="38"/>
      <c r="F179" s="33"/>
      <c r="G179" s="42"/>
      <c r="H179" s="43"/>
      <c r="I179" s="43"/>
      <c r="J179" s="36">
        <f t="shared" si="16"/>
      </c>
      <c r="K179" s="37">
        <f t="shared" si="17"/>
      </c>
      <c r="L179" s="31"/>
      <c r="M179" s="33"/>
      <c r="N179" s="42"/>
      <c r="O179" s="36"/>
      <c r="P179" s="37">
        <f t="shared" si="18"/>
      </c>
      <c r="Q179" s="54"/>
      <c r="S179" s="110"/>
      <c r="T179" s="12"/>
      <c r="U179" s="12"/>
      <c r="V179" s="12"/>
      <c r="W179" s="19"/>
      <c r="X179" s="111"/>
    </row>
    <row r="180" spans="1:24" ht="12.75" hidden="1" outlineLevel="1">
      <c r="A180" s="60"/>
      <c r="B180" s="61"/>
      <c r="C180" s="64"/>
      <c r="D180" s="63"/>
      <c r="E180" s="38" t="s">
        <v>4</v>
      </c>
      <c r="F180" s="33">
        <v>4</v>
      </c>
      <c r="G180" s="42" t="s">
        <v>110</v>
      </c>
      <c r="H180" s="43">
        <v>8</v>
      </c>
      <c r="I180" s="43"/>
      <c r="J180" s="36">
        <f t="shared" si="16"/>
        <v>240</v>
      </c>
      <c r="K180" s="37">
        <f t="shared" si="17"/>
        <v>960</v>
      </c>
      <c r="L180" s="31" t="s">
        <v>111</v>
      </c>
      <c r="M180" s="33"/>
      <c r="N180" s="42"/>
      <c r="O180" s="36"/>
      <c r="P180" s="37">
        <f t="shared" si="18"/>
      </c>
      <c r="Q180" s="54"/>
      <c r="S180" s="110" t="str">
        <f>+E180</f>
        <v>Labour</v>
      </c>
      <c r="T180" s="114">
        <f>+K180</f>
        <v>960</v>
      </c>
      <c r="U180" s="12"/>
      <c r="V180" s="12">
        <v>60</v>
      </c>
      <c r="W180" s="19">
        <f>ROUND(+IF(V180&gt;0,T180/V180,""),2)</f>
        <v>16</v>
      </c>
      <c r="X180" s="111"/>
    </row>
    <row r="181" spans="1:24" ht="12.75" hidden="1" outlineLevel="1">
      <c r="A181" s="60"/>
      <c r="B181" s="61"/>
      <c r="C181" s="64"/>
      <c r="D181" s="63"/>
      <c r="E181" s="38"/>
      <c r="F181" s="33"/>
      <c r="G181" s="42"/>
      <c r="H181" s="43"/>
      <c r="I181" s="43"/>
      <c r="J181" s="36">
        <f t="shared" si="16"/>
      </c>
      <c r="K181" s="37">
        <f t="shared" si="17"/>
      </c>
      <c r="L181" s="31"/>
      <c r="M181" s="33"/>
      <c r="N181" s="42"/>
      <c r="O181" s="36"/>
      <c r="P181" s="37">
        <f t="shared" si="18"/>
      </c>
      <c r="Q181" s="54"/>
      <c r="S181" s="110"/>
      <c r="T181" s="12"/>
      <c r="U181" s="12"/>
      <c r="V181" s="12"/>
      <c r="W181" s="19"/>
      <c r="X181" s="111"/>
    </row>
    <row r="182" spans="1:24" ht="12.75" hidden="1" outlineLevel="1">
      <c r="A182" s="60"/>
      <c r="B182" s="61"/>
      <c r="C182" s="64"/>
      <c r="D182" s="63"/>
      <c r="E182" s="38" t="s">
        <v>112</v>
      </c>
      <c r="F182" s="33" t="s">
        <v>1</v>
      </c>
      <c r="G182" s="42"/>
      <c r="H182" s="43"/>
      <c r="I182" s="43"/>
      <c r="J182" s="36">
        <v>250</v>
      </c>
      <c r="K182" s="37">
        <f t="shared" si="17"/>
        <v>250</v>
      </c>
      <c r="L182" s="31"/>
      <c r="M182" s="33" t="s">
        <v>1</v>
      </c>
      <c r="N182" s="42"/>
      <c r="O182" s="36">
        <v>50</v>
      </c>
      <c r="P182" s="37">
        <f t="shared" si="18"/>
        <v>50</v>
      </c>
      <c r="Q182" s="54"/>
      <c r="S182" s="110" t="str">
        <f>+E182</f>
        <v>Allow for temporary boarding/ access</v>
      </c>
      <c r="T182" s="114">
        <f>+K182</f>
        <v>250</v>
      </c>
      <c r="U182" s="12"/>
      <c r="V182" s="12">
        <v>60</v>
      </c>
      <c r="W182" s="19">
        <f>ROUND(+IF(V182&gt;0,T182/V182,""),2)</f>
        <v>4.17</v>
      </c>
      <c r="X182" s="111"/>
    </row>
    <row r="183" spans="1:24" ht="12.75" hidden="1" outlineLevel="1">
      <c r="A183" s="60"/>
      <c r="B183" s="61"/>
      <c r="C183" s="64"/>
      <c r="D183" s="63"/>
      <c r="E183" s="38"/>
      <c r="F183" s="33"/>
      <c r="G183" s="42"/>
      <c r="H183" s="43"/>
      <c r="I183" s="43"/>
      <c r="J183" s="36"/>
      <c r="K183" s="37"/>
      <c r="L183" s="31"/>
      <c r="M183" s="33"/>
      <c r="N183" s="42"/>
      <c r="O183" s="36"/>
      <c r="P183" s="37"/>
      <c r="Q183" s="54"/>
      <c r="S183" s="110"/>
      <c r="T183" s="114"/>
      <c r="U183" s="12"/>
      <c r="V183" s="12"/>
      <c r="W183" s="19"/>
      <c r="X183" s="111"/>
    </row>
    <row r="184" spans="1:24" ht="12.75" hidden="1" outlineLevel="1">
      <c r="A184" s="60"/>
      <c r="B184" s="61"/>
      <c r="C184" s="64"/>
      <c r="D184" s="63"/>
      <c r="E184" s="38" t="s">
        <v>362</v>
      </c>
      <c r="F184" s="33">
        <v>10</v>
      </c>
      <c r="G184" s="34" t="s">
        <v>363</v>
      </c>
      <c r="H184" s="39"/>
      <c r="I184" s="39"/>
      <c r="J184" s="36">
        <f>SUM(K168:K183)</f>
        <v>1678.4504000000002</v>
      </c>
      <c r="K184" s="37">
        <f>+J184*F184%</f>
        <v>167.84504000000004</v>
      </c>
      <c r="L184" s="31"/>
      <c r="M184" s="33"/>
      <c r="N184" s="42"/>
      <c r="O184" s="36"/>
      <c r="P184" s="37"/>
      <c r="Q184" s="54"/>
      <c r="S184" s="110"/>
      <c r="T184" s="114"/>
      <c r="U184" s="12"/>
      <c r="V184" s="12"/>
      <c r="W184" s="19"/>
      <c r="X184" s="111"/>
    </row>
    <row r="185" spans="1:24" ht="12.75" collapsed="1">
      <c r="A185" s="60"/>
      <c r="B185" s="61"/>
      <c r="C185" s="64"/>
      <c r="D185" s="63"/>
      <c r="E185" s="38"/>
      <c r="F185" s="33"/>
      <c r="G185" s="42"/>
      <c r="H185" s="43"/>
      <c r="I185" s="43"/>
      <c r="J185" s="36">
        <f aca="true" t="shared" si="19" ref="J185:J192">IF(+I185+H185&gt;0,I185+(H185*labour),"")</f>
      </c>
      <c r="K185" s="37">
        <f t="shared" si="17"/>
      </c>
      <c r="L185" s="31"/>
      <c r="M185" s="33"/>
      <c r="N185" s="42"/>
      <c r="O185" s="36"/>
      <c r="P185" s="37">
        <f t="shared" si="18"/>
      </c>
      <c r="Q185" s="54"/>
      <c r="S185" s="110"/>
      <c r="T185" s="12"/>
      <c r="U185" s="12"/>
      <c r="V185" s="12"/>
      <c r="W185" s="19"/>
      <c r="X185" s="111"/>
    </row>
    <row r="186" spans="1:24" ht="12.75">
      <c r="A186" s="60"/>
      <c r="B186" s="61"/>
      <c r="C186" s="64"/>
      <c r="D186" s="63"/>
      <c r="E186" s="38"/>
      <c r="F186" s="33"/>
      <c r="G186" s="42"/>
      <c r="H186" s="43"/>
      <c r="I186" s="43"/>
      <c r="J186" s="36">
        <f t="shared" si="19"/>
      </c>
      <c r="K186" s="37">
        <f t="shared" si="17"/>
      </c>
      <c r="L186" s="31"/>
      <c r="M186" s="33"/>
      <c r="N186" s="42"/>
      <c r="O186" s="36"/>
      <c r="P186" s="37">
        <f t="shared" si="18"/>
      </c>
      <c r="Q186" s="54"/>
      <c r="S186" s="110"/>
      <c r="T186" s="12"/>
      <c r="U186" s="12"/>
      <c r="V186" s="12"/>
      <c r="W186" s="19"/>
      <c r="X186" s="111"/>
    </row>
    <row r="187" spans="1:24" ht="15.75">
      <c r="A187" s="60"/>
      <c r="B187" s="61"/>
      <c r="C187" s="64"/>
      <c r="D187" s="63"/>
      <c r="E187" s="78" t="s">
        <v>113</v>
      </c>
      <c r="F187" s="79"/>
      <c r="G187" s="80"/>
      <c r="H187" s="81"/>
      <c r="I187" s="81"/>
      <c r="J187" s="82">
        <f t="shared" si="19"/>
      </c>
      <c r="K187" s="83">
        <f t="shared" si="17"/>
      </c>
      <c r="L187" s="84"/>
      <c r="M187" s="79"/>
      <c r="N187" s="80"/>
      <c r="O187" s="82"/>
      <c r="P187" s="83">
        <f t="shared" si="18"/>
      </c>
      <c r="Q187" s="85"/>
      <c r="R187" s="89"/>
      <c r="S187" s="117"/>
      <c r="T187" s="118"/>
      <c r="U187" s="118"/>
      <c r="V187" s="118"/>
      <c r="W187" s="119"/>
      <c r="X187" s="120"/>
    </row>
    <row r="188" spans="1:24" ht="12.75">
      <c r="A188" s="60"/>
      <c r="B188" s="61"/>
      <c r="C188" s="64"/>
      <c r="D188" s="63"/>
      <c r="E188" s="38"/>
      <c r="F188" s="33"/>
      <c r="G188" s="42"/>
      <c r="H188" s="43"/>
      <c r="I188" s="43"/>
      <c r="J188" s="36">
        <f t="shared" si="19"/>
      </c>
      <c r="K188" s="37">
        <f t="shared" si="17"/>
      </c>
      <c r="L188" s="31"/>
      <c r="M188" s="33"/>
      <c r="N188" s="42"/>
      <c r="O188" s="36"/>
      <c r="P188" s="37">
        <f t="shared" si="18"/>
      </c>
      <c r="Q188" s="54"/>
      <c r="S188" s="110"/>
      <c r="T188" s="12"/>
      <c r="U188" s="12"/>
      <c r="V188" s="12"/>
      <c r="W188" s="19"/>
      <c r="X188" s="111"/>
    </row>
    <row r="189" spans="1:24" ht="25.5">
      <c r="A189" s="60"/>
      <c r="B189" s="61"/>
      <c r="C189" s="64"/>
      <c r="D189" s="63"/>
      <c r="E189" s="77" t="s">
        <v>114</v>
      </c>
      <c r="F189" s="33"/>
      <c r="G189" s="42"/>
      <c r="H189" s="43"/>
      <c r="I189" s="43"/>
      <c r="J189" s="36">
        <f t="shared" si="19"/>
      </c>
      <c r="K189" s="53">
        <f>SUM(K191:K196)</f>
        <v>137.53740000000002</v>
      </c>
      <c r="L189" s="31"/>
      <c r="M189" s="72"/>
      <c r="N189" s="73"/>
      <c r="O189" s="74"/>
      <c r="P189" s="75">
        <f t="shared" si="18"/>
      </c>
      <c r="Q189" s="76"/>
      <c r="S189" s="110"/>
      <c r="T189" s="12"/>
      <c r="U189" s="12"/>
      <c r="V189" s="12"/>
      <c r="W189" s="112">
        <f>SUM(W190:W193)</f>
        <v>5</v>
      </c>
      <c r="X189" s="111"/>
    </row>
    <row r="190" spans="1:24" ht="12.75">
      <c r="A190" s="60"/>
      <c r="B190" s="61"/>
      <c r="C190" s="64"/>
      <c r="D190" s="63"/>
      <c r="E190" s="38"/>
      <c r="F190" s="33"/>
      <c r="G190" s="42"/>
      <c r="H190" s="43"/>
      <c r="I190" s="43"/>
      <c r="J190" s="36">
        <f t="shared" si="19"/>
      </c>
      <c r="K190" s="37">
        <f aca="true" t="shared" si="20" ref="K190:K197">+IF(F190="item",J190,IF(F190&lt;&gt;0,F190*J190,""))</f>
      </c>
      <c r="L190" s="31"/>
      <c r="M190" s="72"/>
      <c r="N190" s="73"/>
      <c r="O190" s="74"/>
      <c r="P190" s="75">
        <f t="shared" si="18"/>
      </c>
      <c r="Q190" s="76"/>
      <c r="S190" s="113" t="s">
        <v>257</v>
      </c>
      <c r="T190" s="12"/>
      <c r="U190" s="12"/>
      <c r="V190" s="12"/>
      <c r="W190" s="19"/>
      <c r="X190" s="111"/>
    </row>
    <row r="191" spans="1:24" ht="12.75" hidden="1" outlineLevel="1">
      <c r="A191" s="60"/>
      <c r="B191" s="61"/>
      <c r="C191" s="64"/>
      <c r="D191" s="63"/>
      <c r="E191" s="38" t="s">
        <v>115</v>
      </c>
      <c r="F191" s="33">
        <v>2</v>
      </c>
      <c r="G191" s="42" t="s">
        <v>8</v>
      </c>
      <c r="H191" s="43">
        <v>1</v>
      </c>
      <c r="I191" s="43">
        <f>PIR</f>
        <v>30.017000000000003</v>
      </c>
      <c r="J191" s="36">
        <f t="shared" si="19"/>
        <v>60.017</v>
      </c>
      <c r="K191" s="37">
        <f t="shared" si="20"/>
        <v>120.034</v>
      </c>
      <c r="L191" s="31" t="s">
        <v>364</v>
      </c>
      <c r="M191" s="72"/>
      <c r="N191" s="73"/>
      <c r="O191" s="74"/>
      <c r="P191" s="75">
        <f t="shared" si="18"/>
      </c>
      <c r="Q191" s="76"/>
      <c r="S191" s="110" t="str">
        <f>+E191</f>
        <v>Timeguard ZV810</v>
      </c>
      <c r="T191" s="114">
        <f>+K191</f>
        <v>120.034</v>
      </c>
      <c r="U191" s="12"/>
      <c r="V191" s="12">
        <v>25</v>
      </c>
      <c r="W191" s="19">
        <f>ROUND(+IF(V191&gt;0,T191/V191,""),2)</f>
        <v>4.8</v>
      </c>
      <c r="X191" s="111"/>
    </row>
    <row r="192" spans="1:24" ht="12.75" hidden="1" outlineLevel="1">
      <c r="A192" s="60"/>
      <c r="B192" s="61"/>
      <c r="C192" s="64"/>
      <c r="D192" s="63"/>
      <c r="E192" s="38"/>
      <c r="F192" s="33"/>
      <c r="G192" s="42"/>
      <c r="H192" s="43"/>
      <c r="I192" s="43"/>
      <c r="J192" s="36">
        <f t="shared" si="19"/>
      </c>
      <c r="K192" s="37">
        <f t="shared" si="20"/>
      </c>
      <c r="L192" s="31"/>
      <c r="M192" s="72"/>
      <c r="N192" s="73"/>
      <c r="O192" s="74"/>
      <c r="P192" s="75">
        <f t="shared" si="18"/>
      </c>
      <c r="Q192" s="76"/>
      <c r="S192" s="110"/>
      <c r="T192" s="12"/>
      <c r="U192" s="12"/>
      <c r="V192" s="12"/>
      <c r="W192" s="19"/>
      <c r="X192" s="111"/>
    </row>
    <row r="193" spans="1:24" ht="12.75" hidden="1" outlineLevel="1">
      <c r="A193" s="60"/>
      <c r="B193" s="61"/>
      <c r="C193" s="64"/>
      <c r="D193" s="63"/>
      <c r="E193" s="38" t="s">
        <v>7</v>
      </c>
      <c r="F193" s="33" t="s">
        <v>1</v>
      </c>
      <c r="G193" s="42"/>
      <c r="H193" s="43"/>
      <c r="I193" s="43"/>
      <c r="J193" s="36">
        <v>5</v>
      </c>
      <c r="K193" s="37">
        <f t="shared" si="20"/>
        <v>5</v>
      </c>
      <c r="L193" s="31"/>
      <c r="M193" s="72"/>
      <c r="N193" s="73"/>
      <c r="O193" s="74"/>
      <c r="P193" s="75">
        <f t="shared" si="18"/>
      </c>
      <c r="Q193" s="76"/>
      <c r="S193" s="110" t="str">
        <f>+E193</f>
        <v>Delivery</v>
      </c>
      <c r="T193" s="114">
        <f>+K193</f>
        <v>5</v>
      </c>
      <c r="U193" s="12"/>
      <c r="V193" s="12">
        <v>25</v>
      </c>
      <c r="W193" s="19">
        <f>ROUND(+IF(V193&gt;0,T193/V193,""),2)</f>
        <v>0.2</v>
      </c>
      <c r="X193" s="111"/>
    </row>
    <row r="194" spans="1:24" ht="12.75" hidden="1" outlineLevel="1">
      <c r="A194" s="60"/>
      <c r="B194" s="61"/>
      <c r="C194" s="64"/>
      <c r="D194" s="63"/>
      <c r="E194" s="38"/>
      <c r="F194" s="33"/>
      <c r="G194" s="42"/>
      <c r="H194" s="43"/>
      <c r="I194" s="43"/>
      <c r="J194" s="36"/>
      <c r="K194" s="37"/>
      <c r="L194" s="31"/>
      <c r="M194" s="72"/>
      <c r="N194" s="73"/>
      <c r="O194" s="74"/>
      <c r="P194" s="75"/>
      <c r="Q194" s="76"/>
      <c r="S194" s="110"/>
      <c r="T194" s="114"/>
      <c r="U194" s="12"/>
      <c r="V194" s="12"/>
      <c r="W194" s="19"/>
      <c r="X194" s="111"/>
    </row>
    <row r="195" spans="1:24" ht="12.75" hidden="1" outlineLevel="1">
      <c r="A195" s="60"/>
      <c r="B195" s="61"/>
      <c r="C195" s="64"/>
      <c r="D195" s="63"/>
      <c r="E195" s="38" t="s">
        <v>362</v>
      </c>
      <c r="F195" s="33">
        <v>10</v>
      </c>
      <c r="G195" s="34" t="s">
        <v>363</v>
      </c>
      <c r="H195" s="39"/>
      <c r="I195" s="39"/>
      <c r="J195" s="36">
        <f>SUM(K191:K194)</f>
        <v>125.034</v>
      </c>
      <c r="K195" s="37">
        <f>+J195*F195%</f>
        <v>12.503400000000001</v>
      </c>
      <c r="L195" s="31"/>
      <c r="M195" s="72"/>
      <c r="N195" s="73"/>
      <c r="O195" s="74"/>
      <c r="P195" s="75"/>
      <c r="Q195" s="76"/>
      <c r="S195" s="110"/>
      <c r="T195" s="114"/>
      <c r="U195" s="12"/>
      <c r="V195" s="12"/>
      <c r="W195" s="19"/>
      <c r="X195" s="111"/>
    </row>
    <row r="196" spans="1:24" ht="12.75" collapsed="1">
      <c r="A196" s="60"/>
      <c r="B196" s="61"/>
      <c r="C196" s="64"/>
      <c r="D196" s="63"/>
      <c r="E196" s="38"/>
      <c r="F196" s="33"/>
      <c r="G196" s="42"/>
      <c r="H196" s="43"/>
      <c r="I196" s="43"/>
      <c r="J196" s="36">
        <f>IF(+I196+H196&gt;0,I196+(H196*labour),"")</f>
      </c>
      <c r="K196" s="37">
        <f t="shared" si="20"/>
      </c>
      <c r="L196" s="31"/>
      <c r="M196" s="33"/>
      <c r="N196" s="42"/>
      <c r="O196" s="36"/>
      <c r="P196" s="37">
        <f t="shared" si="18"/>
      </c>
      <c r="Q196" s="54"/>
      <c r="S196" s="110"/>
      <c r="T196" s="12"/>
      <c r="U196" s="12"/>
      <c r="V196" s="12"/>
      <c r="W196" s="19"/>
      <c r="X196" s="111"/>
    </row>
    <row r="197" spans="1:24" ht="12.75">
      <c r="A197" s="60"/>
      <c r="B197" s="61"/>
      <c r="C197" s="64"/>
      <c r="D197" s="63"/>
      <c r="E197" s="38"/>
      <c r="F197" s="33"/>
      <c r="G197" s="42"/>
      <c r="H197" s="43"/>
      <c r="I197" s="43"/>
      <c r="J197" s="36">
        <f>IF(+I197+H197&gt;0,I197+(H197*labour),"")</f>
      </c>
      <c r="K197" s="37">
        <f t="shared" si="20"/>
      </c>
      <c r="L197" s="31"/>
      <c r="M197" s="33"/>
      <c r="N197" s="42"/>
      <c r="O197" s="36"/>
      <c r="P197" s="37">
        <f t="shared" si="18"/>
      </c>
      <c r="Q197" s="54"/>
      <c r="S197" s="110"/>
      <c r="T197" s="12"/>
      <c r="U197" s="12"/>
      <c r="V197" s="12"/>
      <c r="W197" s="19"/>
      <c r="X197" s="111"/>
    </row>
    <row r="198" spans="1:24" ht="25.5">
      <c r="A198" s="60"/>
      <c r="B198" s="61"/>
      <c r="C198" s="64"/>
      <c r="D198" s="63"/>
      <c r="E198" s="77" t="s">
        <v>120</v>
      </c>
      <c r="F198" s="33"/>
      <c r="G198" s="42"/>
      <c r="H198" s="43"/>
      <c r="I198" s="43"/>
      <c r="J198" s="36">
        <f>IF(+I198+H198&gt;0,I198+(H198*labour),"")</f>
      </c>
      <c r="K198" s="53">
        <f>SUM(K199:K205)</f>
        <v>975.8925</v>
      </c>
      <c r="L198" s="31"/>
      <c r="M198" s="33"/>
      <c r="N198" s="42"/>
      <c r="O198" s="36"/>
      <c r="P198" s="53">
        <f>SUM(P199:P203)</f>
        <v>457.17499999999995</v>
      </c>
      <c r="Q198" s="54"/>
      <c r="S198" s="110"/>
      <c r="T198" s="12"/>
      <c r="U198" s="12"/>
      <c r="V198" s="12"/>
      <c r="W198" s="112"/>
      <c r="X198" s="116" t="s">
        <v>265</v>
      </c>
    </row>
    <row r="199" spans="1:24" ht="12.75" hidden="1" outlineLevel="1">
      <c r="A199" s="60"/>
      <c r="B199" s="61"/>
      <c r="C199" s="64"/>
      <c r="D199" s="63"/>
      <c r="E199" s="44" t="s">
        <v>121</v>
      </c>
      <c r="F199" s="33">
        <v>3</v>
      </c>
      <c r="G199" s="42" t="s">
        <v>8</v>
      </c>
      <c r="H199" s="43">
        <v>4</v>
      </c>
      <c r="I199" s="43">
        <f>register250</f>
        <v>140.725</v>
      </c>
      <c r="J199" s="36">
        <f>IF(+I199+H199&gt;0,I199+(H199*labour),"")</f>
        <v>260.725</v>
      </c>
      <c r="K199" s="37">
        <f aca="true" t="shared" si="21" ref="K199:K206">+IF(F199="item",J199,IF(F199&lt;&gt;0,F199*J199,""))</f>
        <v>782.1750000000001</v>
      </c>
      <c r="L199" s="31" t="s">
        <v>124</v>
      </c>
      <c r="M199" s="33">
        <f>+F199</f>
        <v>3</v>
      </c>
      <c r="N199" s="42"/>
      <c r="O199" s="36">
        <f>+I199</f>
        <v>140.725</v>
      </c>
      <c r="P199" s="37">
        <f aca="true" t="shared" si="22" ref="P199:P223">+IF(M199="item",O199,IF(M199&lt;&gt;0,M199*O199,""))</f>
        <v>422.17499999999995</v>
      </c>
      <c r="Q199" s="54"/>
      <c r="S199" s="110"/>
      <c r="T199" s="114"/>
      <c r="U199" s="12"/>
      <c r="V199" s="12"/>
      <c r="W199" s="19"/>
      <c r="X199" s="111"/>
    </row>
    <row r="200" spans="1:24" ht="12.75" hidden="1" outlineLevel="1">
      <c r="A200" s="60"/>
      <c r="B200" s="61"/>
      <c r="C200" s="64"/>
      <c r="D200" s="63"/>
      <c r="E200" s="44"/>
      <c r="F200" s="33"/>
      <c r="G200" s="42"/>
      <c r="H200" s="43"/>
      <c r="I200" s="43"/>
      <c r="J200" s="36"/>
      <c r="K200" s="37">
        <f t="shared" si="21"/>
      </c>
      <c r="L200" s="31"/>
      <c r="M200" s="33"/>
      <c r="N200" s="42"/>
      <c r="O200" s="36"/>
      <c r="P200" s="37">
        <f t="shared" si="22"/>
      </c>
      <c r="Q200" s="54"/>
      <c r="S200" s="110"/>
      <c r="T200" s="12"/>
      <c r="U200" s="12"/>
      <c r="V200" s="12"/>
      <c r="W200" s="19"/>
      <c r="X200" s="111"/>
    </row>
    <row r="201" spans="1:24" ht="12.75" hidden="1" outlineLevel="1">
      <c r="A201" s="60"/>
      <c r="B201" s="61"/>
      <c r="C201" s="64"/>
      <c r="D201" s="63"/>
      <c r="E201" s="44" t="s">
        <v>125</v>
      </c>
      <c r="F201" s="33">
        <v>3</v>
      </c>
      <c r="G201" s="42" t="s">
        <v>8</v>
      </c>
      <c r="H201" s="43"/>
      <c r="I201" s="43"/>
      <c r="J201" s="36">
        <v>25</v>
      </c>
      <c r="K201" s="37">
        <f t="shared" si="21"/>
        <v>75</v>
      </c>
      <c r="L201" s="31"/>
      <c r="M201" s="33">
        <v>1</v>
      </c>
      <c r="N201" s="42" t="s">
        <v>8</v>
      </c>
      <c r="O201" s="36">
        <f>+J201</f>
        <v>25</v>
      </c>
      <c r="P201" s="37">
        <f t="shared" si="22"/>
        <v>25</v>
      </c>
      <c r="Q201" s="54"/>
      <c r="S201" s="110"/>
      <c r="T201" s="114"/>
      <c r="U201" s="12"/>
      <c r="V201" s="12"/>
      <c r="W201" s="19"/>
      <c r="X201" s="111"/>
    </row>
    <row r="202" spans="1:24" ht="12.75" hidden="1" outlineLevel="1">
      <c r="A202" s="60"/>
      <c r="B202" s="61"/>
      <c r="C202" s="64"/>
      <c r="D202" s="63"/>
      <c r="E202" s="44"/>
      <c r="F202" s="33"/>
      <c r="G202" s="42"/>
      <c r="H202" s="43"/>
      <c r="I202" s="43"/>
      <c r="J202" s="36">
        <f>IF(+I202+H202&gt;0,I202+(H202*labour),"")</f>
      </c>
      <c r="K202" s="37">
        <f t="shared" si="21"/>
      </c>
      <c r="L202" s="31"/>
      <c r="M202" s="33"/>
      <c r="N202" s="42"/>
      <c r="O202" s="36"/>
      <c r="P202" s="37">
        <f t="shared" si="22"/>
      </c>
      <c r="Q202" s="54"/>
      <c r="S202" s="110"/>
      <c r="T202" s="12"/>
      <c r="U202" s="12"/>
      <c r="V202" s="12"/>
      <c r="W202" s="19"/>
      <c r="X202" s="111"/>
    </row>
    <row r="203" spans="1:24" ht="12.75" hidden="1" outlineLevel="1">
      <c r="A203" s="60"/>
      <c r="B203" s="61"/>
      <c r="C203" s="64"/>
      <c r="D203" s="63"/>
      <c r="E203" s="44" t="s">
        <v>7</v>
      </c>
      <c r="F203" s="33">
        <v>3</v>
      </c>
      <c r="G203" s="42" t="s">
        <v>8</v>
      </c>
      <c r="H203" s="43"/>
      <c r="I203" s="43"/>
      <c r="J203" s="36">
        <v>10</v>
      </c>
      <c r="K203" s="37">
        <f t="shared" si="21"/>
        <v>30</v>
      </c>
      <c r="L203" s="31"/>
      <c r="M203" s="33">
        <v>1</v>
      </c>
      <c r="N203" s="42" t="s">
        <v>8</v>
      </c>
      <c r="O203" s="36">
        <f>+J203</f>
        <v>10</v>
      </c>
      <c r="P203" s="37">
        <f t="shared" si="22"/>
        <v>10</v>
      </c>
      <c r="Q203" s="54"/>
      <c r="S203" s="110"/>
      <c r="T203" s="114"/>
      <c r="U203" s="12"/>
      <c r="V203" s="12"/>
      <c r="W203" s="19"/>
      <c r="X203" s="111"/>
    </row>
    <row r="204" spans="1:24" ht="12.75" hidden="1" outlineLevel="1">
      <c r="A204" s="60"/>
      <c r="B204" s="61"/>
      <c r="C204" s="64"/>
      <c r="D204" s="63"/>
      <c r="E204" s="44"/>
      <c r="F204" s="33"/>
      <c r="G204" s="42"/>
      <c r="H204" s="43"/>
      <c r="I204" s="43"/>
      <c r="J204" s="36"/>
      <c r="K204" s="37"/>
      <c r="L204" s="31"/>
      <c r="M204" s="33"/>
      <c r="N204" s="42"/>
      <c r="O204" s="36"/>
      <c r="P204" s="37"/>
      <c r="Q204" s="54"/>
      <c r="S204" s="110"/>
      <c r="T204" s="114"/>
      <c r="U204" s="12"/>
      <c r="V204" s="12"/>
      <c r="W204" s="19"/>
      <c r="X204" s="111"/>
    </row>
    <row r="205" spans="1:24" ht="12.75" hidden="1" outlineLevel="1">
      <c r="A205" s="60"/>
      <c r="B205" s="61"/>
      <c r="C205" s="64"/>
      <c r="D205" s="63"/>
      <c r="E205" s="38" t="s">
        <v>362</v>
      </c>
      <c r="F205" s="33">
        <v>10</v>
      </c>
      <c r="G205" s="34" t="s">
        <v>363</v>
      </c>
      <c r="H205" s="39"/>
      <c r="I205" s="39"/>
      <c r="J205" s="36">
        <f>SUM(K199:K204)</f>
        <v>887.1750000000001</v>
      </c>
      <c r="K205" s="37">
        <f>+J205*F205%</f>
        <v>88.71750000000002</v>
      </c>
      <c r="L205" s="31"/>
      <c r="M205" s="33"/>
      <c r="N205" s="42"/>
      <c r="O205" s="36"/>
      <c r="P205" s="37"/>
      <c r="Q205" s="54"/>
      <c r="S205" s="110"/>
      <c r="T205" s="114"/>
      <c r="U205" s="12"/>
      <c r="V205" s="12"/>
      <c r="W205" s="19"/>
      <c r="X205" s="111"/>
    </row>
    <row r="206" spans="1:24" ht="12.75" collapsed="1">
      <c r="A206" s="60"/>
      <c r="B206" s="61"/>
      <c r="C206" s="64"/>
      <c r="D206" s="63"/>
      <c r="E206" s="44"/>
      <c r="F206" s="33"/>
      <c r="G206" s="42"/>
      <c r="H206" s="43"/>
      <c r="I206" s="43"/>
      <c r="J206" s="36">
        <f aca="true" t="shared" si="23" ref="J206:J212">IF(+I206+H206&gt;0,I206+(H206*labour),"")</f>
      </c>
      <c r="K206" s="37">
        <f t="shared" si="21"/>
      </c>
      <c r="L206" s="31"/>
      <c r="M206" s="33"/>
      <c r="N206" s="42"/>
      <c r="O206" s="36"/>
      <c r="P206" s="37">
        <f t="shared" si="22"/>
      </c>
      <c r="Q206" s="54"/>
      <c r="S206" s="110"/>
      <c r="T206" s="12"/>
      <c r="U206" s="12"/>
      <c r="V206" s="12"/>
      <c r="W206" s="19"/>
      <c r="X206" s="111"/>
    </row>
    <row r="207" spans="1:24" ht="12.75">
      <c r="A207" s="60"/>
      <c r="B207" s="61"/>
      <c r="C207" s="64"/>
      <c r="D207" s="63"/>
      <c r="E207" s="77" t="s">
        <v>126</v>
      </c>
      <c r="F207" s="33"/>
      <c r="G207" s="42"/>
      <c r="H207" s="43"/>
      <c r="I207" s="43"/>
      <c r="J207" s="36">
        <f t="shared" si="23"/>
      </c>
      <c r="K207" s="53">
        <f>SUM(K209:K219)</f>
        <v>1137.2636</v>
      </c>
      <c r="L207" s="31"/>
      <c r="M207" s="72"/>
      <c r="N207" s="73"/>
      <c r="O207" s="74"/>
      <c r="P207" s="75">
        <f t="shared" si="22"/>
      </c>
      <c r="Q207" s="76"/>
      <c r="S207" s="110"/>
      <c r="T207" s="12"/>
      <c r="U207" s="12"/>
      <c r="V207" s="12"/>
      <c r="W207" s="112">
        <f>SUM(W209:W217)</f>
        <v>17.229999999999997</v>
      </c>
      <c r="X207" s="111"/>
    </row>
    <row r="208" spans="1:24" ht="12.75">
      <c r="A208" s="60"/>
      <c r="B208" s="61"/>
      <c r="C208" s="64"/>
      <c r="D208" s="63"/>
      <c r="E208" s="77"/>
      <c r="F208" s="33"/>
      <c r="G208" s="42"/>
      <c r="H208" s="43"/>
      <c r="I208" s="43"/>
      <c r="J208" s="36"/>
      <c r="K208" s="53"/>
      <c r="L208" s="31"/>
      <c r="M208" s="72"/>
      <c r="N208" s="73"/>
      <c r="O208" s="74"/>
      <c r="P208" s="75"/>
      <c r="Q208" s="76"/>
      <c r="S208" s="110"/>
      <c r="T208" s="12"/>
      <c r="U208" s="12"/>
      <c r="V208" s="12"/>
      <c r="W208" s="112"/>
      <c r="X208" s="111"/>
    </row>
    <row r="209" spans="1:24" ht="12.75" hidden="1" outlineLevel="1">
      <c r="A209" s="60"/>
      <c r="B209" s="61"/>
      <c r="C209" s="64"/>
      <c r="D209" s="63"/>
      <c r="E209" s="44" t="s">
        <v>127</v>
      </c>
      <c r="F209" s="33" t="s">
        <v>1</v>
      </c>
      <c r="G209" s="42"/>
      <c r="H209" s="43">
        <v>4</v>
      </c>
      <c r="I209" s="43">
        <v>50</v>
      </c>
      <c r="J209" s="36">
        <f t="shared" si="23"/>
        <v>170</v>
      </c>
      <c r="K209" s="37">
        <f aca="true" t="shared" si="24" ref="K209:K220">+IF(F209="item",J209,IF(F209&lt;&gt;0,F209*J209,""))</f>
        <v>170</v>
      </c>
      <c r="L209" s="31"/>
      <c r="M209" s="72"/>
      <c r="N209" s="73"/>
      <c r="O209" s="74"/>
      <c r="P209" s="75">
        <f t="shared" si="22"/>
      </c>
      <c r="Q209" s="76"/>
      <c r="S209" s="110" t="str">
        <f>+E209</f>
        <v>Sheepswool packed under skirtings</v>
      </c>
      <c r="T209" s="114">
        <f>+K209</f>
        <v>170</v>
      </c>
      <c r="U209" s="12"/>
      <c r="V209" s="12">
        <v>60</v>
      </c>
      <c r="W209" s="19">
        <f>ROUND(+IF(V209&gt;0,T209/V209,""),2)</f>
        <v>2.83</v>
      </c>
      <c r="X209" s="111"/>
    </row>
    <row r="210" spans="1:24" ht="12.75" hidden="1" outlineLevel="1">
      <c r="A210" s="60"/>
      <c r="B210" s="61"/>
      <c r="C210" s="64"/>
      <c r="D210" s="63"/>
      <c r="E210" s="44"/>
      <c r="F210" s="33"/>
      <c r="G210" s="42"/>
      <c r="H210" s="43"/>
      <c r="I210" s="43"/>
      <c r="J210" s="36">
        <f t="shared" si="23"/>
      </c>
      <c r="K210" s="37">
        <f t="shared" si="24"/>
      </c>
      <c r="L210" s="31"/>
      <c r="M210" s="72"/>
      <c r="N210" s="73"/>
      <c r="O210" s="74"/>
      <c r="P210" s="75">
        <f t="shared" si="22"/>
      </c>
      <c r="Q210" s="76"/>
      <c r="S210" s="110"/>
      <c r="T210" s="12"/>
      <c r="U210" s="12"/>
      <c r="V210" s="12"/>
      <c r="W210" s="19"/>
      <c r="X210" s="111"/>
    </row>
    <row r="211" spans="1:24" ht="12.75" hidden="1" outlineLevel="1">
      <c r="A211" s="60"/>
      <c r="B211" s="61"/>
      <c r="C211" s="64"/>
      <c r="D211" s="63"/>
      <c r="E211" s="44" t="s">
        <v>128</v>
      </c>
      <c r="F211" s="33">
        <f>+F86</f>
        <v>65</v>
      </c>
      <c r="G211" s="42" t="s">
        <v>35</v>
      </c>
      <c r="H211" s="43">
        <v>0.1</v>
      </c>
      <c r="I211" s="43">
        <f>hardboard</f>
        <v>2.9904</v>
      </c>
      <c r="J211" s="36">
        <f t="shared" si="23"/>
        <v>5.9904</v>
      </c>
      <c r="K211" s="37">
        <f t="shared" si="24"/>
        <v>389.37600000000003</v>
      </c>
      <c r="L211" s="31"/>
      <c r="M211" s="72"/>
      <c r="N211" s="73"/>
      <c r="O211" s="74"/>
      <c r="P211" s="75">
        <f t="shared" si="22"/>
      </c>
      <c r="Q211" s="76"/>
      <c r="S211" s="110" t="str">
        <f>+E211</f>
        <v>Tempered hardboard to boards</v>
      </c>
      <c r="T211" s="114">
        <f>+K211</f>
        <v>389.37600000000003</v>
      </c>
      <c r="U211" s="12"/>
      <c r="V211" s="12">
        <v>60</v>
      </c>
      <c r="W211" s="19">
        <f>ROUND(+IF(V211&gt;0,T211/V211,""),2)</f>
        <v>6.49</v>
      </c>
      <c r="X211" s="111"/>
    </row>
    <row r="212" spans="1:24" ht="12.75" hidden="1" outlineLevel="1">
      <c r="A212" s="60"/>
      <c r="B212" s="61"/>
      <c r="C212" s="64"/>
      <c r="D212" s="63"/>
      <c r="E212" s="44"/>
      <c r="F212" s="33"/>
      <c r="G212" s="42"/>
      <c r="H212" s="43"/>
      <c r="I212" s="43"/>
      <c r="J212" s="36">
        <f t="shared" si="23"/>
      </c>
      <c r="K212" s="37">
        <f t="shared" si="24"/>
      </c>
      <c r="L212" s="31"/>
      <c r="M212" s="72"/>
      <c r="N212" s="73"/>
      <c r="O212" s="74"/>
      <c r="P212" s="75">
        <f t="shared" si="22"/>
      </c>
      <c r="Q212" s="76"/>
      <c r="S212" s="110"/>
      <c r="T212" s="12"/>
      <c r="U212" s="12"/>
      <c r="V212" s="12"/>
      <c r="W212" s="19"/>
      <c r="X212" s="111"/>
    </row>
    <row r="213" spans="1:24" ht="12.75" hidden="1" outlineLevel="1">
      <c r="A213" s="60"/>
      <c r="B213" s="61"/>
      <c r="C213" s="64"/>
      <c r="D213" s="63"/>
      <c r="E213" s="44" t="s">
        <v>125</v>
      </c>
      <c r="F213" s="33" t="s">
        <v>1</v>
      </c>
      <c r="G213" s="42"/>
      <c r="H213" s="43"/>
      <c r="I213" s="43"/>
      <c r="J213" s="36">
        <v>50</v>
      </c>
      <c r="K213" s="37">
        <f t="shared" si="24"/>
        <v>50</v>
      </c>
      <c r="L213" s="31"/>
      <c r="M213" s="72"/>
      <c r="N213" s="73"/>
      <c r="O213" s="74"/>
      <c r="P213" s="75">
        <f t="shared" si="22"/>
      </c>
      <c r="Q213" s="76"/>
      <c r="S213" s="110" t="str">
        <f>+E213</f>
        <v>Sundry materials/plant</v>
      </c>
      <c r="T213" s="114">
        <f>+K213</f>
        <v>50</v>
      </c>
      <c r="U213" s="12"/>
      <c r="V213" s="12">
        <v>60</v>
      </c>
      <c r="W213" s="19">
        <f>ROUND(+IF(V213&gt;0,T213/V213,""),2)</f>
        <v>0.83</v>
      </c>
      <c r="X213" s="111"/>
    </row>
    <row r="214" spans="1:24" ht="12.75" hidden="1" outlineLevel="1">
      <c r="A214" s="60"/>
      <c r="B214" s="61"/>
      <c r="C214" s="64"/>
      <c r="D214" s="63"/>
      <c r="E214" s="44"/>
      <c r="F214" s="33"/>
      <c r="G214" s="42"/>
      <c r="H214" s="43"/>
      <c r="I214" s="43"/>
      <c r="J214" s="36">
        <f>IF(+I214+H214&gt;0,I214+(H214*labour),"")</f>
      </c>
      <c r="K214" s="37">
        <f t="shared" si="24"/>
      </c>
      <c r="L214" s="31"/>
      <c r="M214" s="72"/>
      <c r="N214" s="73"/>
      <c r="O214" s="74"/>
      <c r="P214" s="75">
        <f t="shared" si="22"/>
      </c>
      <c r="Q214" s="76"/>
      <c r="S214" s="110"/>
      <c r="T214" s="12"/>
      <c r="U214" s="12"/>
      <c r="V214" s="12"/>
      <c r="W214" s="19"/>
      <c r="X214" s="111"/>
    </row>
    <row r="215" spans="1:24" ht="12.75" hidden="1" outlineLevel="1">
      <c r="A215" s="60"/>
      <c r="B215" s="61"/>
      <c r="C215" s="64"/>
      <c r="D215" s="63"/>
      <c r="E215" s="44" t="s">
        <v>131</v>
      </c>
      <c r="F215" s="33">
        <f>+F211</f>
        <v>65</v>
      </c>
      <c r="G215" s="42" t="s">
        <v>35</v>
      </c>
      <c r="H215" s="43"/>
      <c r="I215" s="43"/>
      <c r="J215" s="36">
        <f>+J86</f>
        <v>6</v>
      </c>
      <c r="K215" s="37">
        <f t="shared" si="24"/>
        <v>390</v>
      </c>
      <c r="L215" s="31"/>
      <c r="M215" s="72"/>
      <c r="N215" s="73"/>
      <c r="O215" s="74"/>
      <c r="P215" s="75">
        <f t="shared" si="22"/>
      </c>
      <c r="Q215" s="76"/>
      <c r="S215" s="110" t="str">
        <f>+E215</f>
        <v>Lifting/ relaying carpet</v>
      </c>
      <c r="T215" s="114">
        <f>+K215</f>
        <v>390</v>
      </c>
      <c r="U215" s="12"/>
      <c r="V215" s="12">
        <v>60</v>
      </c>
      <c r="W215" s="19">
        <f>ROUND(+IF(V215&gt;0,T215/V215,""),2)</f>
        <v>6.5</v>
      </c>
      <c r="X215" s="111"/>
    </row>
    <row r="216" spans="1:24" ht="12.75" hidden="1" outlineLevel="1">
      <c r="A216" s="60"/>
      <c r="B216" s="61"/>
      <c r="C216" s="64"/>
      <c r="D216" s="63"/>
      <c r="E216" s="44"/>
      <c r="F216" s="33"/>
      <c r="G216" s="42"/>
      <c r="H216" s="43"/>
      <c r="I216" s="43"/>
      <c r="J216" s="36">
        <f>IF(+I216+H216&gt;0,I216+(H216*labour),"")</f>
      </c>
      <c r="K216" s="37">
        <f t="shared" si="24"/>
      </c>
      <c r="L216" s="31"/>
      <c r="M216" s="72"/>
      <c r="N216" s="73"/>
      <c r="O216" s="74"/>
      <c r="P216" s="75">
        <f t="shared" si="22"/>
      </c>
      <c r="Q216" s="76"/>
      <c r="S216" s="110"/>
      <c r="T216" s="12"/>
      <c r="U216" s="12"/>
      <c r="V216" s="12"/>
      <c r="W216" s="19"/>
      <c r="X216" s="111"/>
    </row>
    <row r="217" spans="1:24" ht="12.75" hidden="1" outlineLevel="1">
      <c r="A217" s="60"/>
      <c r="B217" s="61"/>
      <c r="C217" s="64"/>
      <c r="D217" s="63"/>
      <c r="E217" s="44" t="s">
        <v>132</v>
      </c>
      <c r="F217" s="33">
        <f>+F97</f>
        <v>69</v>
      </c>
      <c r="G217" s="42" t="s">
        <v>108</v>
      </c>
      <c r="H217" s="43"/>
      <c r="I217" s="138">
        <f>+I97</f>
        <v>0.5</v>
      </c>
      <c r="J217" s="36">
        <f>IF(+I217+H217&gt;0,I217+(H217*labour),"")</f>
        <v>0.5</v>
      </c>
      <c r="K217" s="37">
        <f t="shared" si="24"/>
        <v>34.5</v>
      </c>
      <c r="L217" s="31"/>
      <c r="M217" s="72"/>
      <c r="N217" s="73"/>
      <c r="O217" s="74"/>
      <c r="P217" s="75">
        <f t="shared" si="22"/>
      </c>
      <c r="Q217" s="76"/>
      <c r="S217" s="110" t="str">
        <f>+E217</f>
        <v>Grippers</v>
      </c>
      <c r="T217" s="114">
        <f>+K217</f>
        <v>34.5</v>
      </c>
      <c r="U217" s="12"/>
      <c r="V217" s="12">
        <v>60</v>
      </c>
      <c r="W217" s="19">
        <f>ROUND(+IF(V217&gt;0,T217/V217,""),2)</f>
        <v>0.58</v>
      </c>
      <c r="X217" s="111"/>
    </row>
    <row r="218" spans="1:24" ht="12.75" hidden="1" outlineLevel="1">
      <c r="A218" s="60"/>
      <c r="B218" s="61"/>
      <c r="C218" s="64"/>
      <c r="D218" s="63"/>
      <c r="E218" s="44"/>
      <c r="F218" s="33"/>
      <c r="G218" s="42"/>
      <c r="H218" s="43"/>
      <c r="I218" s="138"/>
      <c r="J218" s="36"/>
      <c r="K218" s="37"/>
      <c r="L218" s="31"/>
      <c r="M218" s="72"/>
      <c r="N218" s="73"/>
      <c r="O218" s="74"/>
      <c r="P218" s="75"/>
      <c r="Q218" s="76"/>
      <c r="S218" s="110"/>
      <c r="T218" s="114"/>
      <c r="U218" s="12"/>
      <c r="V218" s="12"/>
      <c r="W218" s="19"/>
      <c r="X218" s="111"/>
    </row>
    <row r="219" spans="1:24" ht="12.75" hidden="1" outlineLevel="1">
      <c r="A219" s="60"/>
      <c r="B219" s="61"/>
      <c r="C219" s="64"/>
      <c r="D219" s="63"/>
      <c r="E219" s="38" t="s">
        <v>362</v>
      </c>
      <c r="F219" s="33">
        <v>10</v>
      </c>
      <c r="G219" s="34" t="s">
        <v>363</v>
      </c>
      <c r="H219" s="39"/>
      <c r="I219" s="39"/>
      <c r="J219" s="36">
        <f>SUM(K209:K217)</f>
        <v>1033.876</v>
      </c>
      <c r="K219" s="37">
        <f>+J219*F219%</f>
        <v>103.3876</v>
      </c>
      <c r="L219" s="31"/>
      <c r="M219" s="72"/>
      <c r="N219" s="73"/>
      <c r="O219" s="74"/>
      <c r="P219" s="75"/>
      <c r="Q219" s="76"/>
      <c r="S219" s="110"/>
      <c r="T219" s="114"/>
      <c r="U219" s="12"/>
      <c r="V219" s="12"/>
      <c r="W219" s="19"/>
      <c r="X219" s="111"/>
    </row>
    <row r="220" spans="1:24" ht="12.75" collapsed="1">
      <c r="A220" s="60"/>
      <c r="B220" s="61"/>
      <c r="C220" s="64"/>
      <c r="D220" s="63"/>
      <c r="E220" s="44"/>
      <c r="F220" s="33"/>
      <c r="G220" s="42"/>
      <c r="H220" s="43"/>
      <c r="I220" s="43"/>
      <c r="J220" s="36">
        <f>IF(+I220+H220&gt;0,I220+(H220*labour),"")</f>
      </c>
      <c r="K220" s="37">
        <f t="shared" si="24"/>
      </c>
      <c r="L220" s="31"/>
      <c r="M220" s="33"/>
      <c r="N220" s="42"/>
      <c r="O220" s="36"/>
      <c r="P220" s="37">
        <f t="shared" si="22"/>
      </c>
      <c r="Q220" s="54"/>
      <c r="S220" s="110"/>
      <c r="T220" s="12"/>
      <c r="U220" s="12"/>
      <c r="V220" s="12"/>
      <c r="W220" s="19"/>
      <c r="X220" s="111"/>
    </row>
    <row r="221" spans="1:24" ht="12.75">
      <c r="A221" s="60"/>
      <c r="B221" s="61"/>
      <c r="C221" s="64"/>
      <c r="D221" s="63"/>
      <c r="E221" s="44"/>
      <c r="F221" s="33"/>
      <c r="G221" s="42"/>
      <c r="H221" s="43"/>
      <c r="I221" s="43"/>
      <c r="J221" s="36"/>
      <c r="K221" s="37"/>
      <c r="L221" s="31"/>
      <c r="M221" s="33"/>
      <c r="N221" s="42"/>
      <c r="O221" s="36"/>
      <c r="P221" s="37"/>
      <c r="Q221" s="54"/>
      <c r="S221" s="110"/>
      <c r="T221" s="12"/>
      <c r="U221" s="12"/>
      <c r="V221" s="12"/>
      <c r="W221" s="19"/>
      <c r="X221" s="111"/>
    </row>
    <row r="222" spans="1:24" s="151" customFormat="1" ht="25.5" customHeight="1">
      <c r="A222" s="143"/>
      <c r="B222" s="144"/>
      <c r="C222" s="86"/>
      <c r="D222" s="87"/>
      <c r="E222" s="77" t="s">
        <v>428</v>
      </c>
      <c r="F222" s="45"/>
      <c r="G222" s="42"/>
      <c r="H222" s="43"/>
      <c r="I222" s="43"/>
      <c r="J222" s="147">
        <f>IF(+I222+H222&gt;0,I222+(H222*labour),"")</f>
      </c>
      <c r="K222" s="169">
        <f>SUM(K224:K238)</f>
        <v>2282.291666666667</v>
      </c>
      <c r="L222" s="149"/>
      <c r="M222" s="45"/>
      <c r="N222" s="42"/>
      <c r="O222" s="147"/>
      <c r="P222" s="148">
        <f t="shared" si="22"/>
      </c>
      <c r="Q222" s="150"/>
      <c r="S222" s="152"/>
      <c r="T222" s="153"/>
      <c r="U222" s="153"/>
      <c r="V222" s="153"/>
      <c r="W222" s="154"/>
      <c r="X222" s="167"/>
    </row>
    <row r="223" spans="1:24" ht="12.75" hidden="1" outlineLevel="1">
      <c r="A223" s="60"/>
      <c r="B223" s="61"/>
      <c r="C223" s="64"/>
      <c r="D223" s="63"/>
      <c r="E223" s="44"/>
      <c r="F223" s="33"/>
      <c r="G223" s="42"/>
      <c r="H223" s="43"/>
      <c r="I223" s="43"/>
      <c r="J223" s="36">
        <f>IF(+I223+H223&gt;0,I223+(H223*labour),"")</f>
      </c>
      <c r="K223" s="37">
        <f>+IF(F223="item",J223,IF(F223&lt;&gt;0,F223*J223,""))</f>
      </c>
      <c r="L223" s="31"/>
      <c r="M223" s="33"/>
      <c r="N223" s="42"/>
      <c r="O223" s="36"/>
      <c r="P223" s="37">
        <f t="shared" si="22"/>
      </c>
      <c r="Q223" s="54"/>
      <c r="S223" s="110"/>
      <c r="T223" s="12"/>
      <c r="U223" s="12"/>
      <c r="V223" s="12"/>
      <c r="W223" s="19"/>
      <c r="X223" s="111"/>
    </row>
    <row r="224" spans="1:24" ht="12.75" hidden="1" outlineLevel="1">
      <c r="A224" s="60"/>
      <c r="B224" s="61"/>
      <c r="C224" s="64"/>
      <c r="D224" s="63"/>
      <c r="E224" s="44" t="s">
        <v>429</v>
      </c>
      <c r="F224" s="33"/>
      <c r="G224" s="42"/>
      <c r="H224" s="43"/>
      <c r="I224" s="43"/>
      <c r="J224" s="36">
        <v>650</v>
      </c>
      <c r="K224" s="37">
        <f>+J224</f>
        <v>650</v>
      </c>
      <c r="L224" s="31" t="s">
        <v>430</v>
      </c>
      <c r="M224" s="33"/>
      <c r="N224" s="42"/>
      <c r="O224" s="36"/>
      <c r="P224" s="37"/>
      <c r="Q224" s="54"/>
      <c r="S224" s="110"/>
      <c r="T224" s="12"/>
      <c r="U224" s="12"/>
      <c r="V224" s="12"/>
      <c r="W224" s="19"/>
      <c r="X224" s="111"/>
    </row>
    <row r="225" spans="1:24" ht="12.75" hidden="1" outlineLevel="1">
      <c r="A225" s="60"/>
      <c r="B225" s="61"/>
      <c r="C225" s="64"/>
      <c r="D225" s="63"/>
      <c r="E225" s="44"/>
      <c r="F225" s="33"/>
      <c r="G225" s="42"/>
      <c r="H225" s="43"/>
      <c r="I225" s="43"/>
      <c r="J225" s="36"/>
      <c r="K225" s="37"/>
      <c r="L225" s="31"/>
      <c r="M225" s="33"/>
      <c r="N225" s="42"/>
      <c r="O225" s="36"/>
      <c r="P225" s="37"/>
      <c r="Q225" s="54"/>
      <c r="S225" s="110"/>
      <c r="T225" s="12"/>
      <c r="U225" s="12"/>
      <c r="V225" s="12"/>
      <c r="W225" s="19"/>
      <c r="X225" s="111"/>
    </row>
    <row r="226" spans="1:24" ht="12.75" hidden="1" outlineLevel="1">
      <c r="A226" s="60"/>
      <c r="B226" s="61"/>
      <c r="C226" s="64"/>
      <c r="D226" s="63"/>
      <c r="E226" s="44" t="s">
        <v>431</v>
      </c>
      <c r="F226" s="33">
        <f>+ROUND(D233,0)</f>
        <v>13</v>
      </c>
      <c r="G226" s="42" t="s">
        <v>215</v>
      </c>
      <c r="H226" s="43"/>
      <c r="I226" s="43"/>
      <c r="J226" s="36">
        <f>+polybeadbulk</f>
        <v>94.79166666666669</v>
      </c>
      <c r="K226" s="37">
        <f>+IF(F226="item",J226,IF(F226&lt;&gt;0,F226*J226,""))</f>
        <v>1232.291666666667</v>
      </c>
      <c r="L226" s="31" t="s">
        <v>432</v>
      </c>
      <c r="M226" s="33"/>
      <c r="N226" s="42"/>
      <c r="O226" s="36"/>
      <c r="P226" s="37"/>
      <c r="Q226" s="54"/>
      <c r="S226" s="110"/>
      <c r="T226" s="12"/>
      <c r="U226" s="12"/>
      <c r="V226" s="12"/>
      <c r="W226" s="19"/>
      <c r="X226" s="111"/>
    </row>
    <row r="227" spans="1:24" ht="12.75" hidden="1" outlineLevel="1">
      <c r="A227" s="60"/>
      <c r="B227" s="61"/>
      <c r="C227" s="64">
        <f>+F137</f>
        <v>65</v>
      </c>
      <c r="D227" s="63"/>
      <c r="E227" s="44"/>
      <c r="F227" s="33"/>
      <c r="G227" s="42"/>
      <c r="H227" s="43"/>
      <c r="I227" s="43"/>
      <c r="J227" s="36"/>
      <c r="K227" s="37"/>
      <c r="L227" s="31"/>
      <c r="M227" s="33"/>
      <c r="N227" s="42"/>
      <c r="O227" s="36"/>
      <c r="P227" s="37"/>
      <c r="Q227" s="54"/>
      <c r="S227" s="110"/>
      <c r="T227" s="12"/>
      <c r="U227" s="12"/>
      <c r="V227" s="12"/>
      <c r="W227" s="19"/>
      <c r="X227" s="111"/>
    </row>
    <row r="228" spans="1:24" ht="12.75" hidden="1" outlineLevel="1">
      <c r="A228" s="60"/>
      <c r="B228" s="61"/>
      <c r="C228" s="135">
        <v>0.23</v>
      </c>
      <c r="D228" s="63">
        <f>+C227*C228</f>
        <v>14.950000000000001</v>
      </c>
      <c r="E228" s="44"/>
      <c r="F228" s="33"/>
      <c r="G228" s="42"/>
      <c r="H228" s="43"/>
      <c r="I228" s="43"/>
      <c r="J228" s="36"/>
      <c r="K228" s="37"/>
      <c r="L228" s="31"/>
      <c r="M228" s="33"/>
      <c r="N228" s="42"/>
      <c r="O228" s="36"/>
      <c r="P228" s="37"/>
      <c r="Q228" s="54"/>
      <c r="S228" s="110"/>
      <c r="T228" s="12"/>
      <c r="U228" s="12"/>
      <c r="V228" s="12"/>
      <c r="W228" s="19"/>
      <c r="X228" s="111"/>
    </row>
    <row r="229" spans="1:24" ht="12.75" hidden="1" outlineLevel="1">
      <c r="A229" s="212"/>
      <c r="B229" s="66">
        <v>-2.5</v>
      </c>
      <c r="C229" s="64">
        <v>65</v>
      </c>
      <c r="D229" s="63"/>
      <c r="E229" s="44"/>
      <c r="F229" s="33"/>
      <c r="G229" s="42"/>
      <c r="H229" s="43"/>
      <c r="I229" s="43"/>
      <c r="J229" s="36"/>
      <c r="K229" s="37"/>
      <c r="L229" s="31"/>
      <c r="M229" s="33"/>
      <c r="N229" s="42"/>
      <c r="O229" s="36"/>
      <c r="P229" s="37"/>
      <c r="Q229" s="54"/>
      <c r="S229" s="110"/>
      <c r="T229" s="12"/>
      <c r="U229" s="12"/>
      <c r="V229" s="12"/>
      <c r="W229" s="19"/>
      <c r="X229" s="111"/>
    </row>
    <row r="230" spans="1:24" ht="12.75" hidden="1" outlineLevel="1">
      <c r="A230" s="60"/>
      <c r="B230" s="61"/>
      <c r="C230" s="64">
        <v>0.05</v>
      </c>
      <c r="D230" s="63"/>
      <c r="E230" s="44"/>
      <c r="F230" s="33"/>
      <c r="G230" s="42"/>
      <c r="H230" s="43"/>
      <c r="I230" s="43"/>
      <c r="J230" s="36"/>
      <c r="K230" s="37"/>
      <c r="L230" s="31"/>
      <c r="M230" s="33"/>
      <c r="N230" s="42"/>
      <c r="O230" s="36"/>
      <c r="P230" s="37"/>
      <c r="Q230" s="54"/>
      <c r="S230" s="110"/>
      <c r="T230" s="12"/>
      <c r="U230" s="12"/>
      <c r="V230" s="12"/>
      <c r="W230" s="19"/>
      <c r="X230" s="111"/>
    </row>
    <row r="231" spans="1:24" ht="12.75" hidden="1" outlineLevel="1">
      <c r="A231" s="60"/>
      <c r="B231" s="61"/>
      <c r="C231" s="135">
        <v>0.23</v>
      </c>
      <c r="D231" s="63">
        <f>+C231*C230*C229*B229</f>
        <v>-1.8687500000000001</v>
      </c>
      <c r="E231" s="44"/>
      <c r="F231" s="33"/>
      <c r="G231" s="42"/>
      <c r="H231" s="43"/>
      <c r="I231" s="43"/>
      <c r="J231" s="36"/>
      <c r="K231" s="37"/>
      <c r="L231" s="31"/>
      <c r="M231" s="33"/>
      <c r="N231" s="42"/>
      <c r="O231" s="36"/>
      <c r="P231" s="37"/>
      <c r="Q231" s="54"/>
      <c r="S231" s="110"/>
      <c r="T231" s="12"/>
      <c r="U231" s="12"/>
      <c r="V231" s="12"/>
      <c r="W231" s="19"/>
      <c r="X231" s="111"/>
    </row>
    <row r="232" spans="1:24" ht="12.75" hidden="1" outlineLevel="1">
      <c r="A232" s="60"/>
      <c r="B232" s="61"/>
      <c r="C232" s="64"/>
      <c r="D232" s="65"/>
      <c r="E232" s="44"/>
      <c r="F232" s="33"/>
      <c r="G232" s="42"/>
      <c r="H232" s="43"/>
      <c r="I232" s="43"/>
      <c r="J232" s="36"/>
      <c r="K232" s="37"/>
      <c r="L232" s="31"/>
      <c r="M232" s="33"/>
      <c r="N232" s="42"/>
      <c r="O232" s="36"/>
      <c r="P232" s="37"/>
      <c r="Q232" s="54"/>
      <c r="S232" s="110"/>
      <c r="T232" s="12"/>
      <c r="U232" s="12"/>
      <c r="V232" s="12"/>
      <c r="W232" s="19"/>
      <c r="X232" s="111"/>
    </row>
    <row r="233" spans="1:24" ht="12.75" hidden="1" outlineLevel="1">
      <c r="A233" s="60"/>
      <c r="B233" s="61"/>
      <c r="C233" s="64"/>
      <c r="D233" s="65">
        <f>SUM(D228:D232)</f>
        <v>13.08125</v>
      </c>
      <c r="E233" s="44"/>
      <c r="F233" s="33"/>
      <c r="G233" s="42"/>
      <c r="H233" s="43"/>
      <c r="I233" s="43"/>
      <c r="J233" s="36"/>
      <c r="K233" s="37"/>
      <c r="L233" s="31"/>
      <c r="M233" s="33"/>
      <c r="N233" s="42"/>
      <c r="O233" s="36"/>
      <c r="P233" s="37"/>
      <c r="Q233" s="54"/>
      <c r="S233" s="110"/>
      <c r="T233" s="12"/>
      <c r="U233" s="12"/>
      <c r="V233" s="12"/>
      <c r="W233" s="19"/>
      <c r="X233" s="111"/>
    </row>
    <row r="234" spans="1:24" ht="12.75" hidden="1" outlineLevel="1">
      <c r="A234" s="60"/>
      <c r="B234" s="61"/>
      <c r="C234" s="64"/>
      <c r="D234" s="65"/>
      <c r="E234" s="44"/>
      <c r="F234" s="33"/>
      <c r="G234" s="42"/>
      <c r="H234" s="43"/>
      <c r="I234" s="43"/>
      <c r="J234" s="36"/>
      <c r="K234" s="37"/>
      <c r="L234" s="31"/>
      <c r="M234" s="33"/>
      <c r="N234" s="42"/>
      <c r="O234" s="36"/>
      <c r="P234" s="37"/>
      <c r="Q234" s="54"/>
      <c r="S234" s="110"/>
      <c r="T234" s="12"/>
      <c r="U234" s="12"/>
      <c r="V234" s="12"/>
      <c r="W234" s="19"/>
      <c r="X234" s="111"/>
    </row>
    <row r="235" spans="1:24" ht="12.75" hidden="1" outlineLevel="1">
      <c r="A235" s="60"/>
      <c r="B235" s="61"/>
      <c r="C235" s="64"/>
      <c r="D235" s="65"/>
      <c r="E235" s="44"/>
      <c r="F235" s="33"/>
      <c r="G235" s="42"/>
      <c r="H235" s="43"/>
      <c r="I235" s="43"/>
      <c r="J235" s="36"/>
      <c r="K235" s="37"/>
      <c r="L235" s="31"/>
      <c r="M235" s="33"/>
      <c r="N235" s="42"/>
      <c r="O235" s="36"/>
      <c r="P235" s="37"/>
      <c r="Q235" s="54"/>
      <c r="S235" s="110"/>
      <c r="T235" s="12"/>
      <c r="U235" s="12"/>
      <c r="V235" s="12"/>
      <c r="W235" s="19"/>
      <c r="X235" s="111"/>
    </row>
    <row r="236" spans="1:24" s="200" customFormat="1" ht="25.5" hidden="1" outlineLevel="1">
      <c r="A236" s="191"/>
      <c r="B236" s="192"/>
      <c r="C236" s="209"/>
      <c r="D236" s="194"/>
      <c r="E236" s="210" t="s">
        <v>435</v>
      </c>
      <c r="F236" s="14">
        <v>50</v>
      </c>
      <c r="G236" s="196" t="s">
        <v>8</v>
      </c>
      <c r="H236" s="197">
        <v>0.2</v>
      </c>
      <c r="I236" s="197">
        <v>2</v>
      </c>
      <c r="J236" s="198">
        <f>IF(+I236+H236&gt;0,I236+(H236*labour),"")</f>
        <v>8</v>
      </c>
      <c r="K236" s="199">
        <f>+IF(F236="item",J236,IF(F236&lt;&gt;0,F236*J236,""))</f>
        <v>400</v>
      </c>
      <c r="L236" s="31"/>
      <c r="M236" s="14"/>
      <c r="N236" s="196"/>
      <c r="O236" s="198"/>
      <c r="P236" s="199"/>
      <c r="Q236" s="54"/>
      <c r="S236" s="211"/>
      <c r="T236" s="206"/>
      <c r="U236" s="206"/>
      <c r="V236" s="206"/>
      <c r="W236" s="198"/>
      <c r="X236" s="207"/>
    </row>
    <row r="237" spans="1:24" ht="12.75" hidden="1" outlineLevel="1">
      <c r="A237" s="60"/>
      <c r="B237" s="61"/>
      <c r="C237" s="64"/>
      <c r="D237" s="63"/>
      <c r="E237" s="44"/>
      <c r="F237" s="33"/>
      <c r="G237" s="42"/>
      <c r="H237" s="43"/>
      <c r="I237" s="43"/>
      <c r="J237" s="36"/>
      <c r="K237" s="37"/>
      <c r="L237" s="31"/>
      <c r="M237" s="33"/>
      <c r="N237" s="42"/>
      <c r="O237" s="36"/>
      <c r="P237" s="37"/>
      <c r="Q237" s="54"/>
      <c r="S237" s="110"/>
      <c r="T237" s="12"/>
      <c r="U237" s="12"/>
      <c r="V237" s="12"/>
      <c r="W237" s="19"/>
      <c r="X237" s="111"/>
    </row>
    <row r="238" spans="1:24" ht="12.75" hidden="1" outlineLevel="1">
      <c r="A238" s="60"/>
      <c r="B238" s="61"/>
      <c r="C238" s="64"/>
      <c r="D238" s="63"/>
      <c r="E238" s="44"/>
      <c r="F238" s="33"/>
      <c r="G238" s="42"/>
      <c r="H238" s="43"/>
      <c r="I238" s="43"/>
      <c r="J238" s="36"/>
      <c r="K238" s="37"/>
      <c r="L238" s="31"/>
      <c r="M238" s="33"/>
      <c r="N238" s="42"/>
      <c r="O238" s="36"/>
      <c r="P238" s="37"/>
      <c r="Q238" s="54"/>
      <c r="S238" s="110"/>
      <c r="T238" s="12"/>
      <c r="U238" s="12"/>
      <c r="V238" s="12"/>
      <c r="W238" s="19"/>
      <c r="X238" s="111"/>
    </row>
    <row r="239" spans="1:24" ht="12.75" collapsed="1">
      <c r="A239" s="60"/>
      <c r="B239" s="61"/>
      <c r="C239" s="64"/>
      <c r="D239" s="63"/>
      <c r="E239" s="44"/>
      <c r="F239" s="33"/>
      <c r="G239" s="42"/>
      <c r="H239" s="43"/>
      <c r="I239" s="43"/>
      <c r="J239" s="36">
        <f>IF(+I239+H239&gt;0,I239+(H239*labour),"")</f>
      </c>
      <c r="K239" s="37">
        <f aca="true" t="shared" si="25" ref="K239:K246">+IF(F239="item",J239,IF(F239&lt;&gt;0,F239*J239,""))</f>
      </c>
      <c r="L239" s="31"/>
      <c r="M239" s="33"/>
      <c r="N239" s="42"/>
      <c r="O239" s="36"/>
      <c r="P239" s="37">
        <f aca="true" t="shared" si="26" ref="P239:P246">+IF(M239="item",O239,IF(M239&lt;&gt;0,M239*O239,""))</f>
      </c>
      <c r="Q239" s="54"/>
      <c r="S239" s="110"/>
      <c r="T239" s="12"/>
      <c r="U239" s="12"/>
      <c r="V239" s="12"/>
      <c r="W239" s="19"/>
      <c r="X239" s="111"/>
    </row>
    <row r="240" spans="1:24" ht="25.5">
      <c r="A240" s="60"/>
      <c r="B240" s="61"/>
      <c r="C240" s="64"/>
      <c r="D240" s="63"/>
      <c r="E240" s="77" t="s">
        <v>134</v>
      </c>
      <c r="F240" s="33"/>
      <c r="G240" s="42"/>
      <c r="H240" s="43"/>
      <c r="I240" s="43"/>
      <c r="J240" s="36">
        <f>IF(+I240+H240&gt;0,I240+(H240*labour),"")</f>
      </c>
      <c r="K240" s="37">
        <f t="shared" si="25"/>
      </c>
      <c r="L240" s="126" t="s">
        <v>141</v>
      </c>
      <c r="M240" s="72"/>
      <c r="N240" s="73"/>
      <c r="O240" s="74"/>
      <c r="P240" s="75">
        <f t="shared" si="26"/>
      </c>
      <c r="Q240" s="76"/>
      <c r="S240" s="110"/>
      <c r="T240" s="12"/>
      <c r="U240" s="12"/>
      <c r="V240" s="12"/>
      <c r="W240" s="19"/>
      <c r="X240" s="111"/>
    </row>
    <row r="241" spans="1:24" ht="12.75">
      <c r="A241" s="60"/>
      <c r="B241" s="61"/>
      <c r="C241" s="64"/>
      <c r="D241" s="63"/>
      <c r="E241" s="44"/>
      <c r="F241" s="33"/>
      <c r="G241" s="42"/>
      <c r="H241" s="43"/>
      <c r="I241" s="43"/>
      <c r="J241" s="36">
        <f>IF(+I241+H241&gt;0,I241+(H241*labour),"")</f>
      </c>
      <c r="K241" s="37">
        <f t="shared" si="25"/>
      </c>
      <c r="L241" s="31"/>
      <c r="M241" s="33"/>
      <c r="N241" s="42"/>
      <c r="O241" s="36"/>
      <c r="P241" s="37">
        <f t="shared" si="26"/>
      </c>
      <c r="Q241" s="54"/>
      <c r="S241" s="110"/>
      <c r="T241" s="12"/>
      <c r="U241" s="12"/>
      <c r="V241" s="12"/>
      <c r="W241" s="19"/>
      <c r="X241" s="111"/>
    </row>
    <row r="242" spans="1:24" ht="25.5">
      <c r="A242" s="60"/>
      <c r="B242" s="61"/>
      <c r="C242" s="64"/>
      <c r="D242" s="63"/>
      <c r="E242" s="77" t="s">
        <v>135</v>
      </c>
      <c r="F242" s="33"/>
      <c r="G242" s="42"/>
      <c r="H242" s="43"/>
      <c r="I242" s="43"/>
      <c r="J242" s="36">
        <f>IF(+I242+H242&gt;0,I242+(H242*labour),"")</f>
      </c>
      <c r="K242" s="53">
        <f>SUM(K243:K245)</f>
        <v>16500</v>
      </c>
      <c r="L242" s="31"/>
      <c r="M242" s="72"/>
      <c r="N242" s="73"/>
      <c r="O242" s="74"/>
      <c r="P242" s="75">
        <f t="shared" si="26"/>
      </c>
      <c r="Q242" s="76"/>
      <c r="S242" s="110"/>
      <c r="T242" s="12"/>
      <c r="U242" s="12"/>
      <c r="V242" s="12"/>
      <c r="W242" s="112"/>
      <c r="X242" s="116" t="s">
        <v>265</v>
      </c>
    </row>
    <row r="243" spans="1:24" ht="12.75" hidden="1" outlineLevel="1">
      <c r="A243" s="60"/>
      <c r="B243" s="61"/>
      <c r="C243" s="64"/>
      <c r="D243" s="63"/>
      <c r="E243" s="44"/>
      <c r="F243" s="33"/>
      <c r="G243" s="42"/>
      <c r="H243" s="43"/>
      <c r="I243" s="43"/>
      <c r="J243" s="36">
        <f>IF(+I243+H243&gt;0,I243+(H243*labour),"")</f>
      </c>
      <c r="K243" s="37">
        <f t="shared" si="25"/>
      </c>
      <c r="L243" s="31"/>
      <c r="M243" s="72"/>
      <c r="N243" s="73"/>
      <c r="O243" s="74"/>
      <c r="P243" s="75">
        <f t="shared" si="26"/>
      </c>
      <c r="Q243" s="76"/>
      <c r="S243" s="113"/>
      <c r="T243" s="12"/>
      <c r="U243" s="12"/>
      <c r="V243" s="12"/>
      <c r="W243" s="19"/>
      <c r="X243" s="111"/>
    </row>
    <row r="244" spans="1:24" ht="12.75" hidden="1" outlineLevel="1">
      <c r="A244" s="60"/>
      <c r="B244" s="61"/>
      <c r="C244" s="64"/>
      <c r="D244" s="63"/>
      <c r="E244" s="44" t="s">
        <v>136</v>
      </c>
      <c r="F244" s="33">
        <v>22</v>
      </c>
      <c r="G244" s="42" t="s">
        <v>8</v>
      </c>
      <c r="H244" s="43"/>
      <c r="I244" s="43"/>
      <c r="J244" s="36">
        <v>750</v>
      </c>
      <c r="K244" s="37">
        <f t="shared" si="25"/>
        <v>16500</v>
      </c>
      <c r="L244" s="31" t="s">
        <v>137</v>
      </c>
      <c r="M244" s="72"/>
      <c r="N244" s="73"/>
      <c r="O244" s="74"/>
      <c r="P244" s="75">
        <f t="shared" si="26"/>
      </c>
      <c r="Q244" s="76"/>
      <c r="S244" s="121"/>
      <c r="T244" s="114"/>
      <c r="U244" s="12"/>
      <c r="V244" s="12"/>
      <c r="W244" s="19"/>
      <c r="X244" s="111"/>
    </row>
    <row r="245" spans="1:24" ht="12.75" collapsed="1">
      <c r="A245" s="60"/>
      <c r="B245" s="61"/>
      <c r="C245" s="64"/>
      <c r="D245" s="63"/>
      <c r="E245" s="44"/>
      <c r="F245" s="33"/>
      <c r="G245" s="42"/>
      <c r="H245" s="43"/>
      <c r="I245" s="43"/>
      <c r="J245" s="36">
        <f>IF(+I245+H245&gt;0,I245+(H245*labour),"")</f>
      </c>
      <c r="K245" s="37">
        <f t="shared" si="25"/>
      </c>
      <c r="L245" s="31"/>
      <c r="M245" s="33"/>
      <c r="N245" s="42"/>
      <c r="O245" s="36"/>
      <c r="P245" s="37">
        <f t="shared" si="26"/>
      </c>
      <c r="Q245" s="54"/>
      <c r="S245" s="110"/>
      <c r="T245" s="12"/>
      <c r="U245" s="12"/>
      <c r="V245" s="12"/>
      <c r="W245" s="19"/>
      <c r="X245" s="111"/>
    </row>
    <row r="246" spans="1:24" ht="24.75" customHeight="1">
      <c r="A246" s="60"/>
      <c r="B246" s="61"/>
      <c r="C246" s="64"/>
      <c r="D246" s="63"/>
      <c r="E246" s="139" t="s">
        <v>138</v>
      </c>
      <c r="F246" s="72"/>
      <c r="G246" s="73"/>
      <c r="H246" s="140"/>
      <c r="I246" s="140"/>
      <c r="J246" s="74">
        <f>IF(+I246+H246&gt;0,I246+(H246*labour),"")</f>
      </c>
      <c r="K246" s="75">
        <f t="shared" si="25"/>
      </c>
      <c r="L246" s="141" t="s">
        <v>322</v>
      </c>
      <c r="M246" s="72"/>
      <c r="N246" s="73"/>
      <c r="O246" s="74"/>
      <c r="P246" s="75">
        <f t="shared" si="26"/>
      </c>
      <c r="Q246" s="76"/>
      <c r="S246" s="110"/>
      <c r="T246" s="114"/>
      <c r="U246" s="12"/>
      <c r="V246" s="12"/>
      <c r="W246" s="19"/>
      <c r="X246" s="116"/>
    </row>
    <row r="247" spans="1:24" ht="12.75">
      <c r="A247" s="60"/>
      <c r="B247" s="61"/>
      <c r="C247" s="62"/>
      <c r="D247" s="63"/>
      <c r="E247" s="77"/>
      <c r="F247" s="33"/>
      <c r="G247" s="42"/>
      <c r="H247" s="43"/>
      <c r="I247" s="43"/>
      <c r="J247" s="36"/>
      <c r="K247" s="37"/>
      <c r="L247" s="31"/>
      <c r="M247" s="33"/>
      <c r="N247" s="42"/>
      <c r="O247" s="36"/>
      <c r="P247" s="37"/>
      <c r="Q247" s="54"/>
      <c r="S247" s="110"/>
      <c r="T247" s="12"/>
      <c r="U247" s="12"/>
      <c r="V247" s="12"/>
      <c r="W247" s="19"/>
      <c r="X247" s="111"/>
    </row>
    <row r="248" spans="1:24" ht="12.75">
      <c r="A248" s="60"/>
      <c r="B248" s="61"/>
      <c r="C248" s="62"/>
      <c r="D248" s="63"/>
      <c r="E248" s="77"/>
      <c r="F248" s="33"/>
      <c r="G248" s="42"/>
      <c r="H248" s="43"/>
      <c r="I248" s="43"/>
      <c r="J248" s="36"/>
      <c r="K248" s="37"/>
      <c r="L248" s="31"/>
      <c r="M248" s="33"/>
      <c r="N248" s="42"/>
      <c r="O248" s="36"/>
      <c r="P248" s="37"/>
      <c r="Q248" s="54"/>
      <c r="S248" s="110"/>
      <c r="T248" s="12"/>
      <c r="U248" s="12"/>
      <c r="V248" s="12"/>
      <c r="W248" s="19"/>
      <c r="X248" s="111"/>
    </row>
    <row r="249" spans="1:24" ht="25.5">
      <c r="A249" s="60"/>
      <c r="B249" s="61"/>
      <c r="C249" s="62"/>
      <c r="D249" s="65"/>
      <c r="E249" s="139" t="s">
        <v>139</v>
      </c>
      <c r="F249" s="72"/>
      <c r="G249" s="73"/>
      <c r="H249" s="140"/>
      <c r="I249" s="140"/>
      <c r="J249" s="74">
        <f>IF(+I249+H249&gt;0,I249+(H249*labour),"")</f>
      </c>
      <c r="K249" s="75">
        <f>+IF(F249="item",J249,IF(F249&lt;&gt;0,F249*J249,""))</f>
      </c>
      <c r="L249" s="141" t="s">
        <v>322</v>
      </c>
      <c r="M249" s="72"/>
      <c r="N249" s="73"/>
      <c r="O249" s="74"/>
      <c r="P249" s="75">
        <f>+IF(M249="item",O249,IF(M249&lt;&gt;0,M249*O249,""))</f>
      </c>
      <c r="Q249" s="76"/>
      <c r="S249" s="110"/>
      <c r="T249" s="12"/>
      <c r="U249" s="12"/>
      <c r="V249" s="12"/>
      <c r="W249" s="19"/>
      <c r="X249" s="116" t="s">
        <v>265</v>
      </c>
    </row>
    <row r="250" spans="1:24" s="151" customFormat="1" ht="12.75">
      <c r="A250" s="143"/>
      <c r="B250" s="144"/>
      <c r="C250" s="145"/>
      <c r="D250" s="146"/>
      <c r="E250" s="77"/>
      <c r="F250" s="45"/>
      <c r="G250" s="42"/>
      <c r="H250" s="43"/>
      <c r="I250" s="43"/>
      <c r="J250" s="147"/>
      <c r="K250" s="148"/>
      <c r="L250" s="149"/>
      <c r="M250" s="45"/>
      <c r="N250" s="42"/>
      <c r="O250" s="147"/>
      <c r="P250" s="148"/>
      <c r="Q250" s="150"/>
      <c r="S250" s="152"/>
      <c r="T250" s="153"/>
      <c r="U250" s="153"/>
      <c r="V250" s="153"/>
      <c r="W250" s="154"/>
      <c r="X250" s="155"/>
    </row>
    <row r="251" spans="1:24" ht="12.75">
      <c r="A251" s="60"/>
      <c r="B251" s="61"/>
      <c r="C251" s="62"/>
      <c r="D251" s="65"/>
      <c r="E251" s="44"/>
      <c r="F251" s="33"/>
      <c r="G251" s="42"/>
      <c r="H251" s="43"/>
      <c r="I251" s="43"/>
      <c r="J251" s="36"/>
      <c r="K251" s="37">
        <f aca="true" t="shared" si="27" ref="K251:K332">+IF(F251="item",J251,IF(F251&lt;&gt;0,F251*J251,""))</f>
      </c>
      <c r="L251" s="31"/>
      <c r="M251" s="33"/>
      <c r="N251" s="42"/>
      <c r="O251" s="36"/>
      <c r="P251" s="37"/>
      <c r="Q251" s="54"/>
      <c r="S251" s="110"/>
      <c r="T251" s="12"/>
      <c r="U251" s="12"/>
      <c r="V251" s="12"/>
      <c r="W251" s="19"/>
      <c r="X251" s="116"/>
    </row>
    <row r="252" spans="1:24" ht="25.5">
      <c r="A252" s="60"/>
      <c r="B252" s="61"/>
      <c r="C252" s="64"/>
      <c r="D252" s="63"/>
      <c r="E252" s="142" t="s">
        <v>140</v>
      </c>
      <c r="F252" s="72"/>
      <c r="G252" s="73"/>
      <c r="H252" s="140"/>
      <c r="I252" s="140"/>
      <c r="J252" s="74">
        <f>IF(+I252+H252&gt;0,I252+(H252*labour),"")</f>
      </c>
      <c r="K252" s="75">
        <f t="shared" si="27"/>
      </c>
      <c r="L252" s="141" t="s">
        <v>322</v>
      </c>
      <c r="M252" s="72"/>
      <c r="N252" s="73"/>
      <c r="O252" s="74"/>
      <c r="P252" s="75">
        <f>+IF(M252="item",O252,IF(M252&lt;&gt;0,M252*O252,""))</f>
      </c>
      <c r="Q252" s="76"/>
      <c r="S252" s="110"/>
      <c r="T252" s="12"/>
      <c r="U252" s="12"/>
      <c r="V252" s="12"/>
      <c r="W252" s="19"/>
      <c r="X252" s="116" t="s">
        <v>265</v>
      </c>
    </row>
    <row r="253" spans="1:24" ht="12.75">
      <c r="A253" s="60"/>
      <c r="B253" s="61"/>
      <c r="C253" s="62"/>
      <c r="D253" s="65"/>
      <c r="E253" s="77"/>
      <c r="F253" s="33"/>
      <c r="G253" s="42"/>
      <c r="H253" s="43"/>
      <c r="I253" s="43"/>
      <c r="J253" s="36"/>
      <c r="K253" s="37">
        <f t="shared" si="27"/>
      </c>
      <c r="L253" s="31"/>
      <c r="M253" s="33"/>
      <c r="N253" s="42"/>
      <c r="O253" s="36"/>
      <c r="P253" s="37"/>
      <c r="Q253" s="54"/>
      <c r="S253" s="110"/>
      <c r="T253" s="12"/>
      <c r="U253" s="12"/>
      <c r="V253" s="12"/>
      <c r="W253" s="19"/>
      <c r="X253" s="111"/>
    </row>
    <row r="254" spans="1:24" ht="25.5">
      <c r="A254" s="60"/>
      <c r="B254" s="61"/>
      <c r="C254" s="62"/>
      <c r="D254" s="65"/>
      <c r="E254" s="77" t="s">
        <v>142</v>
      </c>
      <c r="F254" s="33"/>
      <c r="G254" s="42"/>
      <c r="H254" s="43"/>
      <c r="I254" s="43"/>
      <c r="J254" s="36"/>
      <c r="K254" s="53">
        <f>SUM(K256:K333)</f>
        <v>30184</v>
      </c>
      <c r="L254" s="31"/>
      <c r="M254" s="72"/>
      <c r="N254" s="73"/>
      <c r="O254" s="74"/>
      <c r="P254" s="75">
        <f aca="true" t="shared" si="28" ref="P254:P265">+IF(M254="item",O254,IF(M254&lt;&gt;0,M254*O254,""))</f>
      </c>
      <c r="Q254" s="76"/>
      <c r="S254" s="110"/>
      <c r="T254" s="12"/>
      <c r="U254" s="12"/>
      <c r="V254" s="12"/>
      <c r="W254" s="19"/>
      <c r="X254" s="111"/>
    </row>
    <row r="255" spans="1:24" ht="12.75">
      <c r="A255" s="60"/>
      <c r="B255" s="61"/>
      <c r="C255" s="62"/>
      <c r="D255" s="65"/>
      <c r="E255" s="77"/>
      <c r="F255" s="33"/>
      <c r="G255" s="42"/>
      <c r="H255" s="43"/>
      <c r="I255" s="43"/>
      <c r="J255" s="36"/>
      <c r="K255" s="37">
        <f t="shared" si="27"/>
      </c>
      <c r="L255" s="31"/>
      <c r="M255" s="72"/>
      <c r="N255" s="73"/>
      <c r="O255" s="74"/>
      <c r="P255" s="75">
        <f t="shared" si="28"/>
      </c>
      <c r="Q255" s="76"/>
      <c r="S255" s="110"/>
      <c r="T255" s="12"/>
      <c r="U255" s="12"/>
      <c r="V255" s="12"/>
      <c r="W255" s="19"/>
      <c r="X255" s="111"/>
    </row>
    <row r="256" spans="1:24" ht="51" hidden="1" outlineLevel="1">
      <c r="A256" s="60"/>
      <c r="B256" s="61"/>
      <c r="C256" s="62"/>
      <c r="D256" s="65"/>
      <c r="E256" s="44" t="s">
        <v>330</v>
      </c>
      <c r="F256" s="33">
        <f>ROUND(D296,0)</f>
        <v>129</v>
      </c>
      <c r="G256" s="42" t="s">
        <v>35</v>
      </c>
      <c r="H256" s="43"/>
      <c r="I256" s="43"/>
      <c r="J256" s="36">
        <f>pavadentro</f>
        <v>150</v>
      </c>
      <c r="K256" s="37">
        <f t="shared" si="27"/>
        <v>19350</v>
      </c>
      <c r="L256" s="31" t="s">
        <v>325</v>
      </c>
      <c r="M256" s="72"/>
      <c r="N256" s="73"/>
      <c r="O256" s="74"/>
      <c r="P256" s="75">
        <f t="shared" si="28"/>
      </c>
      <c r="Q256" s="76"/>
      <c r="S256" s="110"/>
      <c r="T256" s="12"/>
      <c r="U256" s="12"/>
      <c r="V256" s="12"/>
      <c r="W256" s="19"/>
      <c r="X256" s="111"/>
    </row>
    <row r="257" spans="1:24" ht="12.75" hidden="1" outlineLevel="1">
      <c r="A257" s="60"/>
      <c r="B257" s="61"/>
      <c r="C257" s="62">
        <v>7.3</v>
      </c>
      <c r="D257" s="63"/>
      <c r="E257" s="77"/>
      <c r="F257" s="33"/>
      <c r="G257" s="42"/>
      <c r="H257" s="43"/>
      <c r="I257" s="43"/>
      <c r="J257" s="36"/>
      <c r="K257" s="37">
        <f t="shared" si="27"/>
      </c>
      <c r="L257" s="31"/>
      <c r="M257" s="72"/>
      <c r="N257" s="73"/>
      <c r="O257" s="74"/>
      <c r="P257" s="75">
        <f t="shared" si="28"/>
      </c>
      <c r="Q257" s="76"/>
      <c r="S257" s="110"/>
      <c r="T257" s="12"/>
      <c r="U257" s="12"/>
      <c r="V257" s="12"/>
      <c r="W257" s="19"/>
      <c r="X257" s="111"/>
    </row>
    <row r="258" spans="1:24" ht="12.75" hidden="1" outlineLevel="1">
      <c r="A258" s="60"/>
      <c r="B258" s="61"/>
      <c r="C258" s="135">
        <v>5.6</v>
      </c>
      <c r="D258" s="63">
        <f>+C257*C258</f>
        <v>40.879999999999995</v>
      </c>
      <c r="E258" s="77"/>
      <c r="F258" s="33"/>
      <c r="G258" s="42"/>
      <c r="H258" s="43"/>
      <c r="I258" s="43"/>
      <c r="J258" s="36"/>
      <c r="K258" s="37">
        <f t="shared" si="27"/>
      </c>
      <c r="L258" s="31"/>
      <c r="M258" s="72"/>
      <c r="N258" s="73"/>
      <c r="O258" s="74"/>
      <c r="P258" s="75">
        <f t="shared" si="28"/>
      </c>
      <c r="Q258" s="76"/>
      <c r="S258" s="110"/>
      <c r="T258" s="12"/>
      <c r="U258" s="12"/>
      <c r="V258" s="12"/>
      <c r="W258" s="19"/>
      <c r="X258" s="111"/>
    </row>
    <row r="259" spans="1:24" ht="12.75" hidden="1" outlineLevel="1">
      <c r="A259" s="60"/>
      <c r="B259" s="61">
        <v>-1</v>
      </c>
      <c r="C259" s="62">
        <v>2.6</v>
      </c>
      <c r="D259" s="63"/>
      <c r="E259" s="77"/>
      <c r="F259" s="33"/>
      <c r="G259" s="42"/>
      <c r="H259" s="43"/>
      <c r="I259" s="43"/>
      <c r="J259" s="36"/>
      <c r="K259" s="37">
        <f t="shared" si="27"/>
      </c>
      <c r="L259" s="31"/>
      <c r="M259" s="72"/>
      <c r="N259" s="73"/>
      <c r="O259" s="74"/>
      <c r="P259" s="75">
        <f t="shared" si="28"/>
      </c>
      <c r="Q259" s="76"/>
      <c r="S259" s="110"/>
      <c r="T259" s="12"/>
      <c r="U259" s="12"/>
      <c r="V259" s="12"/>
      <c r="W259" s="19"/>
      <c r="X259" s="111"/>
    </row>
    <row r="260" spans="1:24" ht="12.75" hidden="1" outlineLevel="1">
      <c r="A260" s="60"/>
      <c r="B260" s="61"/>
      <c r="C260" s="135">
        <v>5.6</v>
      </c>
      <c r="D260" s="63">
        <f>+C260*C259*B259</f>
        <v>-14.559999999999999</v>
      </c>
      <c r="E260" s="77"/>
      <c r="F260" s="33"/>
      <c r="G260" s="42"/>
      <c r="H260" s="43"/>
      <c r="I260" s="43"/>
      <c r="J260" s="36"/>
      <c r="K260" s="37">
        <f t="shared" si="27"/>
      </c>
      <c r="L260" s="31"/>
      <c r="M260" s="72"/>
      <c r="N260" s="73"/>
      <c r="O260" s="74"/>
      <c r="P260" s="75">
        <f t="shared" si="28"/>
      </c>
      <c r="Q260" s="76"/>
      <c r="S260" s="110"/>
      <c r="T260" s="12"/>
      <c r="U260" s="12"/>
      <c r="V260" s="12"/>
      <c r="W260" s="19"/>
      <c r="X260" s="111"/>
    </row>
    <row r="261" spans="1:24" ht="12.75" hidden="1" outlineLevel="1">
      <c r="A261" s="60"/>
      <c r="B261" s="61">
        <v>3</v>
      </c>
      <c r="C261" s="62">
        <v>1</v>
      </c>
      <c r="D261" s="63"/>
      <c r="E261" s="77"/>
      <c r="F261" s="33"/>
      <c r="G261" s="42"/>
      <c r="H261" s="43"/>
      <c r="I261" s="43"/>
      <c r="J261" s="36"/>
      <c r="K261" s="37">
        <f t="shared" si="27"/>
      </c>
      <c r="L261" s="31"/>
      <c r="M261" s="72"/>
      <c r="N261" s="73"/>
      <c r="O261" s="74"/>
      <c r="P261" s="75">
        <f t="shared" si="28"/>
      </c>
      <c r="Q261" s="76"/>
      <c r="S261" s="110"/>
      <c r="T261" s="12"/>
      <c r="U261" s="12"/>
      <c r="V261" s="12"/>
      <c r="W261" s="19"/>
      <c r="X261" s="111"/>
    </row>
    <row r="262" spans="1:24" ht="12.75" hidden="1" outlineLevel="1">
      <c r="A262" s="60"/>
      <c r="B262" s="61"/>
      <c r="C262" s="135">
        <v>5.6</v>
      </c>
      <c r="D262" s="63">
        <f>+C262*C261*B261</f>
        <v>16.799999999999997</v>
      </c>
      <c r="E262" s="77"/>
      <c r="F262" s="33"/>
      <c r="G262" s="42"/>
      <c r="H262" s="43"/>
      <c r="I262" s="43"/>
      <c r="J262" s="36"/>
      <c r="K262" s="37">
        <f t="shared" si="27"/>
      </c>
      <c r="L262" s="31"/>
      <c r="M262" s="72"/>
      <c r="N262" s="73"/>
      <c r="O262" s="74"/>
      <c r="P262" s="75">
        <f t="shared" si="28"/>
      </c>
      <c r="Q262" s="76"/>
      <c r="S262" s="110"/>
      <c r="T262" s="12"/>
      <c r="U262" s="12"/>
      <c r="V262" s="12"/>
      <c r="W262" s="19"/>
      <c r="X262" s="111"/>
    </row>
    <row r="263" spans="1:24" ht="12.75" hidden="1" outlineLevel="1">
      <c r="A263" s="60"/>
      <c r="B263" s="61"/>
      <c r="C263" s="62">
        <v>7.5</v>
      </c>
      <c r="D263" s="63"/>
      <c r="E263" s="77"/>
      <c r="F263" s="33"/>
      <c r="G263" s="42"/>
      <c r="H263" s="43"/>
      <c r="I263" s="43"/>
      <c r="J263" s="36"/>
      <c r="K263" s="37">
        <f t="shared" si="27"/>
      </c>
      <c r="L263" s="31"/>
      <c r="M263" s="72"/>
      <c r="N263" s="73"/>
      <c r="O263" s="74"/>
      <c r="P263" s="75">
        <f t="shared" si="28"/>
      </c>
      <c r="Q263" s="76"/>
      <c r="S263" s="110"/>
      <c r="T263" s="12"/>
      <c r="U263" s="12"/>
      <c r="V263" s="12"/>
      <c r="W263" s="19"/>
      <c r="X263" s="111"/>
    </row>
    <row r="264" spans="1:24" ht="12.75" hidden="1" outlineLevel="1">
      <c r="A264" s="60"/>
      <c r="B264" s="61"/>
      <c r="C264" s="135">
        <v>5.6</v>
      </c>
      <c r="D264" s="63">
        <f>+C263*C264</f>
        <v>42</v>
      </c>
      <c r="E264" s="77"/>
      <c r="F264" s="33"/>
      <c r="G264" s="42"/>
      <c r="H264" s="43"/>
      <c r="I264" s="43"/>
      <c r="J264" s="36"/>
      <c r="K264" s="37">
        <f t="shared" si="27"/>
      </c>
      <c r="L264" s="31"/>
      <c r="M264" s="72"/>
      <c r="N264" s="73"/>
      <c r="O264" s="74"/>
      <c r="P264" s="75">
        <f t="shared" si="28"/>
      </c>
      <c r="Q264" s="76"/>
      <c r="S264" s="110"/>
      <c r="T264" s="12"/>
      <c r="U264" s="12"/>
      <c r="V264" s="12"/>
      <c r="W264" s="19"/>
      <c r="X264" s="111"/>
    </row>
    <row r="265" spans="1:24" ht="12.75" hidden="1" outlineLevel="1">
      <c r="A265" s="60"/>
      <c r="B265" s="61"/>
      <c r="C265" s="62">
        <v>1.3</v>
      </c>
      <c r="D265" s="63"/>
      <c r="E265" s="77"/>
      <c r="F265" s="33"/>
      <c r="G265" s="42"/>
      <c r="H265" s="43"/>
      <c r="I265" s="43"/>
      <c r="J265" s="36"/>
      <c r="K265" s="37">
        <f t="shared" si="27"/>
      </c>
      <c r="L265" s="31"/>
      <c r="M265" s="72"/>
      <c r="N265" s="73"/>
      <c r="O265" s="74"/>
      <c r="P265" s="75">
        <f t="shared" si="28"/>
      </c>
      <c r="Q265" s="76"/>
      <c r="S265" s="110"/>
      <c r="T265" s="12"/>
      <c r="U265" s="12"/>
      <c r="V265" s="12"/>
      <c r="W265" s="19"/>
      <c r="X265" s="111"/>
    </row>
    <row r="266" spans="1:24" ht="12.75" hidden="1" outlineLevel="1">
      <c r="A266" s="60"/>
      <c r="B266" s="61"/>
      <c r="C266" s="135">
        <v>5.6</v>
      </c>
      <c r="D266" s="63">
        <f>+C265*C266</f>
        <v>7.279999999999999</v>
      </c>
      <c r="E266" s="77"/>
      <c r="F266" s="33"/>
      <c r="G266" s="42"/>
      <c r="H266" s="43"/>
      <c r="I266" s="43"/>
      <c r="J266" s="36"/>
      <c r="K266" s="37">
        <f t="shared" si="27"/>
      </c>
      <c r="L266" s="31"/>
      <c r="M266" s="72"/>
      <c r="N266" s="73"/>
      <c r="O266" s="74"/>
      <c r="P266" s="75"/>
      <c r="Q266" s="76"/>
      <c r="S266" s="110"/>
      <c r="T266" s="12"/>
      <c r="U266" s="12"/>
      <c r="V266" s="12"/>
      <c r="W266" s="19"/>
      <c r="X266" s="111"/>
    </row>
    <row r="267" spans="1:24" ht="12.75" hidden="1" outlineLevel="1">
      <c r="A267" s="60"/>
      <c r="B267" s="61"/>
      <c r="C267" s="62">
        <v>3.95</v>
      </c>
      <c r="D267" s="63"/>
      <c r="E267" s="77"/>
      <c r="F267" s="33"/>
      <c r="G267" s="42"/>
      <c r="H267" s="43"/>
      <c r="I267" s="43"/>
      <c r="J267" s="36"/>
      <c r="K267" s="37">
        <f t="shared" si="27"/>
      </c>
      <c r="L267" s="31"/>
      <c r="M267" s="72"/>
      <c r="N267" s="73"/>
      <c r="O267" s="74"/>
      <c r="P267" s="75"/>
      <c r="Q267" s="76"/>
      <c r="S267" s="110"/>
      <c r="T267" s="12"/>
      <c r="U267" s="12"/>
      <c r="V267" s="12"/>
      <c r="W267" s="19"/>
      <c r="X267" s="111"/>
    </row>
    <row r="268" spans="1:24" ht="12.75" hidden="1" outlineLevel="1">
      <c r="A268" s="60"/>
      <c r="B268" s="61"/>
      <c r="C268" s="135">
        <v>5.6</v>
      </c>
      <c r="D268" s="63">
        <f>+C267*C268</f>
        <v>22.12</v>
      </c>
      <c r="E268" s="77"/>
      <c r="F268" s="33"/>
      <c r="G268" s="42"/>
      <c r="H268" s="43"/>
      <c r="I268" s="43"/>
      <c r="J268" s="36"/>
      <c r="K268" s="37">
        <f t="shared" si="27"/>
      </c>
      <c r="L268" s="31"/>
      <c r="M268" s="72"/>
      <c r="N268" s="73"/>
      <c r="O268" s="74"/>
      <c r="P268" s="75"/>
      <c r="Q268" s="76"/>
      <c r="S268" s="110"/>
      <c r="T268" s="12"/>
      <c r="U268" s="12"/>
      <c r="V268" s="12"/>
      <c r="W268" s="19"/>
      <c r="X268" s="111"/>
    </row>
    <row r="269" spans="1:24" ht="12.75" hidden="1" outlineLevel="1">
      <c r="A269" s="60"/>
      <c r="B269" s="61"/>
      <c r="C269" s="62">
        <v>5.9</v>
      </c>
      <c r="D269" s="63"/>
      <c r="E269" s="77"/>
      <c r="F269" s="33"/>
      <c r="G269" s="42"/>
      <c r="H269" s="43"/>
      <c r="I269" s="43"/>
      <c r="J269" s="36"/>
      <c r="K269" s="37">
        <f t="shared" si="27"/>
      </c>
      <c r="L269" s="31"/>
      <c r="M269" s="72"/>
      <c r="N269" s="73"/>
      <c r="O269" s="74"/>
      <c r="P269" s="75"/>
      <c r="Q269" s="76"/>
      <c r="S269" s="110"/>
      <c r="T269" s="12"/>
      <c r="U269" s="12"/>
      <c r="V269" s="12"/>
      <c r="W269" s="19"/>
      <c r="X269" s="111"/>
    </row>
    <row r="270" spans="1:24" ht="12.75" hidden="1" outlineLevel="1">
      <c r="A270" s="60"/>
      <c r="B270" s="61"/>
      <c r="C270" s="135">
        <v>5.6</v>
      </c>
      <c r="D270" s="63">
        <f>+C269*C270</f>
        <v>33.04</v>
      </c>
      <c r="E270" s="77"/>
      <c r="F270" s="33"/>
      <c r="G270" s="42"/>
      <c r="H270" s="43"/>
      <c r="I270" s="43"/>
      <c r="J270" s="36"/>
      <c r="K270" s="37">
        <f t="shared" si="27"/>
      </c>
      <c r="L270" s="31"/>
      <c r="M270" s="72"/>
      <c r="N270" s="73"/>
      <c r="O270" s="74"/>
      <c r="P270" s="75"/>
      <c r="Q270" s="76"/>
      <c r="S270" s="110"/>
      <c r="T270" s="12"/>
      <c r="U270" s="12"/>
      <c r="V270" s="12"/>
      <c r="W270" s="19"/>
      <c r="X270" s="111"/>
    </row>
    <row r="271" spans="1:24" ht="12.75" hidden="1" outlineLevel="1">
      <c r="A271" s="60"/>
      <c r="B271" s="61">
        <v>-1</v>
      </c>
      <c r="C271" s="62">
        <v>2.6</v>
      </c>
      <c r="D271" s="63"/>
      <c r="E271" s="77"/>
      <c r="F271" s="33"/>
      <c r="G271" s="42"/>
      <c r="H271" s="43"/>
      <c r="I271" s="43"/>
      <c r="J271" s="36"/>
      <c r="K271" s="37">
        <f t="shared" si="27"/>
      </c>
      <c r="L271" s="31"/>
      <c r="M271" s="72"/>
      <c r="N271" s="73"/>
      <c r="O271" s="74"/>
      <c r="P271" s="75"/>
      <c r="Q271" s="76"/>
      <c r="S271" s="110"/>
      <c r="T271" s="12"/>
      <c r="U271" s="12"/>
      <c r="V271" s="12"/>
      <c r="W271" s="19"/>
      <c r="X271" s="111"/>
    </row>
    <row r="272" spans="1:24" ht="12.75" hidden="1" outlineLevel="1">
      <c r="A272" s="60"/>
      <c r="B272" s="61"/>
      <c r="C272" s="135">
        <v>3.3</v>
      </c>
      <c r="D272" s="63">
        <f>+C272*C271*B271</f>
        <v>-8.58</v>
      </c>
      <c r="E272" s="77"/>
      <c r="F272" s="33"/>
      <c r="G272" s="42"/>
      <c r="H272" s="43"/>
      <c r="I272" s="43"/>
      <c r="J272" s="36"/>
      <c r="K272" s="37">
        <f t="shared" si="27"/>
      </c>
      <c r="L272" s="31"/>
      <c r="M272" s="72"/>
      <c r="N272" s="73"/>
      <c r="O272" s="74"/>
      <c r="P272" s="75"/>
      <c r="Q272" s="76"/>
      <c r="S272" s="110"/>
      <c r="T272" s="12"/>
      <c r="U272" s="12"/>
      <c r="V272" s="12"/>
      <c r="W272" s="19"/>
      <c r="X272" s="111"/>
    </row>
    <row r="273" spans="1:24" ht="12.75" hidden="1" outlineLevel="1">
      <c r="A273" s="60"/>
      <c r="B273" s="61">
        <v>3</v>
      </c>
      <c r="C273" s="62">
        <v>1</v>
      </c>
      <c r="D273" s="63"/>
      <c r="E273" s="77"/>
      <c r="F273" s="33"/>
      <c r="G273" s="42"/>
      <c r="H273" s="43"/>
      <c r="I273" s="43"/>
      <c r="J273" s="36"/>
      <c r="K273" s="37">
        <f t="shared" si="27"/>
      </c>
      <c r="L273" s="31"/>
      <c r="M273" s="72"/>
      <c r="N273" s="73"/>
      <c r="O273" s="74"/>
      <c r="P273" s="75">
        <f>+IF(M273="item",O273,IF(M273&lt;&gt;0,M273*O273,""))</f>
      </c>
      <c r="Q273" s="76"/>
      <c r="S273" s="110"/>
      <c r="T273" s="12"/>
      <c r="U273" s="12"/>
      <c r="V273" s="12"/>
      <c r="W273" s="19"/>
      <c r="X273" s="111"/>
    </row>
    <row r="274" spans="1:24" ht="12.75" hidden="1" outlineLevel="1">
      <c r="A274" s="60"/>
      <c r="B274" s="61"/>
      <c r="C274" s="135">
        <v>3.3</v>
      </c>
      <c r="D274" s="63">
        <f>+C274*C273*B273</f>
        <v>9.899999999999999</v>
      </c>
      <c r="E274" s="77"/>
      <c r="F274" s="33"/>
      <c r="G274" s="42"/>
      <c r="H274" s="43"/>
      <c r="I274" s="43"/>
      <c r="J274" s="36"/>
      <c r="K274" s="37">
        <f t="shared" si="27"/>
      </c>
      <c r="L274" s="31"/>
      <c r="M274" s="72"/>
      <c r="N274" s="73"/>
      <c r="O274" s="74"/>
      <c r="P274" s="75">
        <f>+IF(M274="item",O274,IF(M274&lt;&gt;0,M274*O274,""))</f>
      </c>
      <c r="Q274" s="76"/>
      <c r="S274" s="110"/>
      <c r="T274" s="12"/>
      <c r="U274" s="12"/>
      <c r="V274" s="12"/>
      <c r="W274" s="19"/>
      <c r="X274" s="111"/>
    </row>
    <row r="275" spans="1:24" ht="12.75" hidden="1" outlineLevel="1">
      <c r="A275" s="60"/>
      <c r="B275" s="61">
        <v>-1</v>
      </c>
      <c r="C275" s="62">
        <v>0.28</v>
      </c>
      <c r="D275" s="63"/>
      <c r="E275" s="77"/>
      <c r="F275" s="33"/>
      <c r="G275" s="42"/>
      <c r="H275" s="43"/>
      <c r="I275" s="43"/>
      <c r="J275" s="36"/>
      <c r="K275" s="37">
        <f t="shared" si="27"/>
      </c>
      <c r="L275" s="31"/>
      <c r="M275" s="72"/>
      <c r="N275" s="73"/>
      <c r="O275" s="74"/>
      <c r="P275" s="75">
        <f>+IF(M275="item",O275,IF(M275&lt;&gt;0,M275*O275,""))</f>
      </c>
      <c r="Q275" s="76"/>
      <c r="S275" s="110"/>
      <c r="T275" s="12"/>
      <c r="U275" s="12"/>
      <c r="V275" s="12"/>
      <c r="W275" s="19"/>
      <c r="X275" s="111"/>
    </row>
    <row r="276" spans="1:24" ht="12.75" hidden="1" outlineLevel="1">
      <c r="A276" s="60"/>
      <c r="B276" s="61"/>
      <c r="C276" s="135">
        <v>0.9</v>
      </c>
      <c r="D276" s="63">
        <f>+C276*C275*B275</f>
        <v>-0.25200000000000006</v>
      </c>
      <c r="E276" s="77"/>
      <c r="F276" s="33"/>
      <c r="G276" s="42"/>
      <c r="H276" s="43"/>
      <c r="I276" s="43"/>
      <c r="J276" s="36"/>
      <c r="K276" s="37">
        <f t="shared" si="27"/>
      </c>
      <c r="L276" s="31"/>
      <c r="M276" s="72"/>
      <c r="N276" s="73"/>
      <c r="O276" s="74"/>
      <c r="P276" s="75"/>
      <c r="Q276" s="76"/>
      <c r="S276" s="110"/>
      <c r="T276" s="12"/>
      <c r="U276" s="12"/>
      <c r="V276" s="12"/>
      <c r="W276" s="19"/>
      <c r="X276" s="111"/>
    </row>
    <row r="277" spans="1:24" ht="12.75" hidden="1" outlineLevel="1">
      <c r="A277" s="60"/>
      <c r="B277" s="61">
        <v>-1</v>
      </c>
      <c r="C277" s="62">
        <v>0.45</v>
      </c>
      <c r="D277" s="63"/>
      <c r="E277" s="77"/>
      <c r="F277" s="33"/>
      <c r="G277" s="42"/>
      <c r="H277" s="43"/>
      <c r="I277" s="43"/>
      <c r="J277" s="36"/>
      <c r="K277" s="37">
        <f t="shared" si="27"/>
      </c>
      <c r="L277" s="31"/>
      <c r="M277" s="72"/>
      <c r="N277" s="73"/>
      <c r="O277" s="74"/>
      <c r="P277" s="75"/>
      <c r="Q277" s="76"/>
      <c r="S277" s="110"/>
      <c r="T277" s="12"/>
      <c r="U277" s="12"/>
      <c r="V277" s="12"/>
      <c r="W277" s="19"/>
      <c r="X277" s="111"/>
    </row>
    <row r="278" spans="1:24" ht="12.75" hidden="1" outlineLevel="1">
      <c r="A278" s="60"/>
      <c r="B278" s="61"/>
      <c r="C278" s="135">
        <v>0.9</v>
      </c>
      <c r="D278" s="63">
        <f>+C278*C277*B277</f>
        <v>-0.405</v>
      </c>
      <c r="E278" s="77"/>
      <c r="F278" s="33"/>
      <c r="G278" s="42"/>
      <c r="H278" s="43"/>
      <c r="I278" s="43"/>
      <c r="J278" s="36"/>
      <c r="K278" s="37">
        <f t="shared" si="27"/>
      </c>
      <c r="L278" s="31"/>
      <c r="M278" s="72"/>
      <c r="N278" s="73"/>
      <c r="O278" s="74"/>
      <c r="P278" s="75"/>
      <c r="Q278" s="76"/>
      <c r="S278" s="110"/>
      <c r="T278" s="12"/>
      <c r="U278" s="12"/>
      <c r="V278" s="12"/>
      <c r="W278" s="19"/>
      <c r="X278" s="111"/>
    </row>
    <row r="279" spans="1:24" ht="12.75" hidden="1" outlineLevel="1">
      <c r="A279" s="60"/>
      <c r="B279" s="61">
        <v>-2</v>
      </c>
      <c r="C279" s="62">
        <v>0.55</v>
      </c>
      <c r="D279" s="63"/>
      <c r="E279" s="77"/>
      <c r="F279" s="33"/>
      <c r="G279" s="42"/>
      <c r="H279" s="43"/>
      <c r="I279" s="43"/>
      <c r="J279" s="36"/>
      <c r="K279" s="37">
        <f t="shared" si="27"/>
      </c>
      <c r="L279" s="31"/>
      <c r="M279" s="72"/>
      <c r="N279" s="73"/>
      <c r="O279" s="74"/>
      <c r="P279" s="75"/>
      <c r="Q279" s="76"/>
      <c r="S279" s="110"/>
      <c r="T279" s="12"/>
      <c r="U279" s="12"/>
      <c r="V279" s="12"/>
      <c r="W279" s="19"/>
      <c r="X279" s="111"/>
    </row>
    <row r="280" spans="1:24" ht="12.75" hidden="1" outlineLevel="1">
      <c r="A280" s="60"/>
      <c r="B280" s="61"/>
      <c r="C280" s="135">
        <v>0.9</v>
      </c>
      <c r="D280" s="63">
        <f>+C280*C279*B279</f>
        <v>-0.9900000000000001</v>
      </c>
      <c r="E280" s="77"/>
      <c r="F280" s="33"/>
      <c r="G280" s="42"/>
      <c r="H280" s="43"/>
      <c r="I280" s="43"/>
      <c r="J280" s="36"/>
      <c r="K280" s="37">
        <f t="shared" si="27"/>
      </c>
      <c r="L280" s="31"/>
      <c r="M280" s="72"/>
      <c r="N280" s="73"/>
      <c r="O280" s="74"/>
      <c r="P280" s="75"/>
      <c r="Q280" s="76"/>
      <c r="S280" s="110"/>
      <c r="T280" s="12"/>
      <c r="U280" s="12"/>
      <c r="V280" s="12"/>
      <c r="W280" s="19"/>
      <c r="X280" s="111"/>
    </row>
    <row r="281" spans="1:24" ht="12.75" hidden="1" outlineLevel="1">
      <c r="A281" s="60"/>
      <c r="B281" s="61">
        <v>-4</v>
      </c>
      <c r="C281" s="62">
        <v>0.6</v>
      </c>
      <c r="D281" s="63"/>
      <c r="E281" s="77"/>
      <c r="F281" s="33"/>
      <c r="G281" s="42"/>
      <c r="H281" s="43"/>
      <c r="I281" s="43"/>
      <c r="J281" s="36"/>
      <c r="K281" s="37">
        <f t="shared" si="27"/>
      </c>
      <c r="L281" s="31"/>
      <c r="M281" s="72"/>
      <c r="N281" s="73"/>
      <c r="O281" s="74"/>
      <c r="P281" s="75"/>
      <c r="Q281" s="76"/>
      <c r="S281" s="110"/>
      <c r="T281" s="12"/>
      <c r="U281" s="12"/>
      <c r="V281" s="12"/>
      <c r="W281" s="19"/>
      <c r="X281" s="111"/>
    </row>
    <row r="282" spans="1:24" ht="12.75" hidden="1" outlineLevel="1">
      <c r="A282" s="60"/>
      <c r="B282" s="61"/>
      <c r="C282" s="135">
        <v>1.5</v>
      </c>
      <c r="D282" s="63">
        <f>+C282*C281*B281</f>
        <v>-3.5999999999999996</v>
      </c>
      <c r="E282" s="77"/>
      <c r="F282" s="33"/>
      <c r="G282" s="42"/>
      <c r="H282" s="43"/>
      <c r="I282" s="43"/>
      <c r="J282" s="36"/>
      <c r="K282" s="37">
        <f t="shared" si="27"/>
      </c>
      <c r="L282" s="31"/>
      <c r="M282" s="72"/>
      <c r="N282" s="73"/>
      <c r="O282" s="74"/>
      <c r="P282" s="75"/>
      <c r="Q282" s="76"/>
      <c r="S282" s="110"/>
      <c r="T282" s="12"/>
      <c r="U282" s="12"/>
      <c r="V282" s="12"/>
      <c r="W282" s="19"/>
      <c r="X282" s="111"/>
    </row>
    <row r="283" spans="1:24" ht="12.75" hidden="1" outlineLevel="1">
      <c r="A283" s="60"/>
      <c r="B283" s="61">
        <v>-9</v>
      </c>
      <c r="C283" s="62">
        <v>0.68</v>
      </c>
      <c r="D283" s="63"/>
      <c r="E283" s="77"/>
      <c r="F283" s="33"/>
      <c r="G283" s="42"/>
      <c r="H283" s="43"/>
      <c r="I283" s="43"/>
      <c r="J283" s="36"/>
      <c r="K283" s="37">
        <f t="shared" si="27"/>
      </c>
      <c r="L283" s="31"/>
      <c r="M283" s="72"/>
      <c r="N283" s="73"/>
      <c r="O283" s="74"/>
      <c r="P283" s="75"/>
      <c r="Q283" s="76"/>
      <c r="S283" s="110"/>
      <c r="T283" s="12"/>
      <c r="U283" s="12"/>
      <c r="V283" s="12"/>
      <c r="W283" s="19"/>
      <c r="X283" s="111"/>
    </row>
    <row r="284" spans="1:24" ht="12.75" hidden="1" outlineLevel="1">
      <c r="A284" s="60"/>
      <c r="B284" s="61"/>
      <c r="C284" s="135">
        <v>1.5</v>
      </c>
      <c r="D284" s="63">
        <f>+C284*C283*B283</f>
        <v>-9.18</v>
      </c>
      <c r="E284" s="77"/>
      <c r="F284" s="33"/>
      <c r="G284" s="42"/>
      <c r="H284" s="43"/>
      <c r="I284" s="43"/>
      <c r="J284" s="36"/>
      <c r="K284" s="37">
        <f t="shared" si="27"/>
      </c>
      <c r="L284" s="31"/>
      <c r="M284" s="72"/>
      <c r="N284" s="73"/>
      <c r="O284" s="74"/>
      <c r="P284" s="75"/>
      <c r="Q284" s="76"/>
      <c r="S284" s="110"/>
      <c r="T284" s="12"/>
      <c r="U284" s="12"/>
      <c r="V284" s="12"/>
      <c r="W284" s="19"/>
      <c r="X284" s="111"/>
    </row>
    <row r="285" spans="1:24" ht="12.75" hidden="1" outlineLevel="1">
      <c r="A285" s="60"/>
      <c r="B285" s="61">
        <v>-2</v>
      </c>
      <c r="C285" s="62">
        <v>0.7</v>
      </c>
      <c r="D285" s="63"/>
      <c r="E285" s="77"/>
      <c r="F285" s="33"/>
      <c r="G285" s="42"/>
      <c r="H285" s="43"/>
      <c r="I285" s="43"/>
      <c r="J285" s="36"/>
      <c r="K285" s="37">
        <f t="shared" si="27"/>
      </c>
      <c r="L285" s="31"/>
      <c r="M285" s="72"/>
      <c r="N285" s="73"/>
      <c r="O285" s="74"/>
      <c r="P285" s="75"/>
      <c r="Q285" s="76"/>
      <c r="S285" s="110"/>
      <c r="T285" s="12"/>
      <c r="U285" s="12"/>
      <c r="V285" s="12"/>
      <c r="W285" s="19"/>
      <c r="X285" s="111"/>
    </row>
    <row r="286" spans="1:24" ht="12.75" hidden="1" outlineLevel="1">
      <c r="A286" s="60"/>
      <c r="B286" s="61"/>
      <c r="C286" s="135">
        <v>1</v>
      </c>
      <c r="D286" s="63">
        <f>+C286*C285*B285</f>
        <v>-1.4</v>
      </c>
      <c r="E286" s="77"/>
      <c r="F286" s="33"/>
      <c r="G286" s="42"/>
      <c r="H286" s="43"/>
      <c r="I286" s="43"/>
      <c r="J286" s="36"/>
      <c r="K286" s="37">
        <f t="shared" si="27"/>
      </c>
      <c r="L286" s="31"/>
      <c r="M286" s="72"/>
      <c r="N286" s="73"/>
      <c r="O286" s="74"/>
      <c r="P286" s="75"/>
      <c r="Q286" s="76"/>
      <c r="S286" s="110"/>
      <c r="T286" s="12"/>
      <c r="U286" s="12"/>
      <c r="V286" s="12"/>
      <c r="W286" s="19"/>
      <c r="X286" s="111"/>
    </row>
    <row r="287" spans="1:24" ht="12.75" hidden="1" outlineLevel="1">
      <c r="A287" s="60"/>
      <c r="B287" s="61">
        <v>-2</v>
      </c>
      <c r="C287" s="62">
        <v>0.9</v>
      </c>
      <c r="D287" s="63"/>
      <c r="E287" s="77"/>
      <c r="F287" s="33"/>
      <c r="G287" s="42"/>
      <c r="H287" s="43"/>
      <c r="I287" s="43"/>
      <c r="J287" s="36"/>
      <c r="K287" s="37">
        <f t="shared" si="27"/>
      </c>
      <c r="L287" s="31"/>
      <c r="M287" s="72"/>
      <c r="N287" s="73"/>
      <c r="O287" s="74"/>
      <c r="P287" s="75"/>
      <c r="Q287" s="76"/>
      <c r="S287" s="110"/>
      <c r="T287" s="12"/>
      <c r="U287" s="12"/>
      <c r="V287" s="12"/>
      <c r="W287" s="19"/>
      <c r="X287" s="111"/>
    </row>
    <row r="288" spans="1:24" ht="12.75" hidden="1" outlineLevel="1">
      <c r="A288" s="60"/>
      <c r="B288" s="61"/>
      <c r="C288" s="135">
        <v>1.2</v>
      </c>
      <c r="D288" s="63">
        <f>+C288*C287*B287</f>
        <v>-2.16</v>
      </c>
      <c r="E288" s="77"/>
      <c r="F288" s="33"/>
      <c r="G288" s="42"/>
      <c r="H288" s="43"/>
      <c r="I288" s="43"/>
      <c r="J288" s="36"/>
      <c r="K288" s="37">
        <f t="shared" si="27"/>
      </c>
      <c r="L288" s="31"/>
      <c r="M288" s="72"/>
      <c r="N288" s="73"/>
      <c r="O288" s="74"/>
      <c r="P288" s="75"/>
      <c r="Q288" s="76"/>
      <c r="S288" s="110"/>
      <c r="T288" s="12"/>
      <c r="U288" s="12"/>
      <c r="V288" s="12"/>
      <c r="W288" s="19"/>
      <c r="X288" s="111"/>
    </row>
    <row r="289" spans="1:24" ht="12.75" hidden="1" outlineLevel="1">
      <c r="A289" s="60"/>
      <c r="B289" s="61">
        <v>-1</v>
      </c>
      <c r="C289" s="62">
        <v>0.9</v>
      </c>
      <c r="D289" s="63"/>
      <c r="E289" s="77"/>
      <c r="F289" s="33"/>
      <c r="G289" s="42"/>
      <c r="H289" s="43"/>
      <c r="I289" s="43"/>
      <c r="J289" s="36"/>
      <c r="K289" s="37">
        <f t="shared" si="27"/>
      </c>
      <c r="L289" s="31"/>
      <c r="M289" s="72"/>
      <c r="N289" s="73"/>
      <c r="O289" s="74"/>
      <c r="P289" s="75"/>
      <c r="Q289" s="76"/>
      <c r="S289" s="110"/>
      <c r="T289" s="12"/>
      <c r="U289" s="12"/>
      <c r="V289" s="12"/>
      <c r="W289" s="19"/>
      <c r="X289" s="111"/>
    </row>
    <row r="290" spans="1:24" ht="12.75" hidden="1" outlineLevel="1">
      <c r="A290" s="60"/>
      <c r="B290" s="61"/>
      <c r="C290" s="135">
        <v>1.5</v>
      </c>
      <c r="D290" s="63">
        <f>+C290*C289*B289</f>
        <v>-1.35</v>
      </c>
      <c r="E290" s="77"/>
      <c r="F290" s="33"/>
      <c r="G290" s="42"/>
      <c r="H290" s="43"/>
      <c r="I290" s="43"/>
      <c r="J290" s="36"/>
      <c r="K290" s="37">
        <f t="shared" si="27"/>
      </c>
      <c r="L290" s="31"/>
      <c r="M290" s="72"/>
      <c r="N290" s="73"/>
      <c r="O290" s="74"/>
      <c r="P290" s="75"/>
      <c r="Q290" s="76"/>
      <c r="S290" s="110"/>
      <c r="T290" s="12"/>
      <c r="U290" s="12"/>
      <c r="V290" s="12"/>
      <c r="W290" s="19"/>
      <c r="X290" s="111"/>
    </row>
    <row r="291" spans="1:24" ht="12.75" hidden="1" outlineLevel="1">
      <c r="A291" s="60"/>
      <c r="B291" s="61">
        <v>-2</v>
      </c>
      <c r="C291" s="62">
        <v>1</v>
      </c>
      <c r="D291" s="63"/>
      <c r="E291" s="77"/>
      <c r="F291" s="33"/>
      <c r="G291" s="42"/>
      <c r="H291" s="43"/>
      <c r="I291" s="43"/>
      <c r="J291" s="36"/>
      <c r="K291" s="37">
        <f t="shared" si="27"/>
      </c>
      <c r="L291" s="31"/>
      <c r="M291" s="72"/>
      <c r="N291" s="73"/>
      <c r="O291" s="74"/>
      <c r="P291" s="75"/>
      <c r="Q291" s="76"/>
      <c r="S291" s="110"/>
      <c r="T291" s="12"/>
      <c r="U291" s="12"/>
      <c r="V291" s="12"/>
      <c r="W291" s="19"/>
      <c r="X291" s="111"/>
    </row>
    <row r="292" spans="1:24" ht="12.75" hidden="1" outlineLevel="1">
      <c r="A292" s="60"/>
      <c r="B292" s="61"/>
      <c r="C292" s="135">
        <v>2.4</v>
      </c>
      <c r="D292" s="63">
        <f>+C292*C291*B291</f>
        <v>-4.8</v>
      </c>
      <c r="E292" s="77"/>
      <c r="F292" s="33"/>
      <c r="G292" s="42"/>
      <c r="H292" s="43"/>
      <c r="I292" s="43"/>
      <c r="J292" s="36"/>
      <c r="K292" s="37">
        <f t="shared" si="27"/>
      </c>
      <c r="L292" s="31"/>
      <c r="M292" s="72"/>
      <c r="N292" s="73"/>
      <c r="O292" s="74"/>
      <c r="P292" s="75"/>
      <c r="Q292" s="76"/>
      <c r="S292" s="110"/>
      <c r="T292" s="12"/>
      <c r="U292" s="12"/>
      <c r="V292" s="12"/>
      <c r="W292" s="19"/>
      <c r="X292" s="111"/>
    </row>
    <row r="293" spans="1:24" ht="12.75" hidden="1" outlineLevel="1">
      <c r="A293" s="60"/>
      <c r="B293" s="66">
        <v>0.5</v>
      </c>
      <c r="C293" s="62">
        <v>4.2</v>
      </c>
      <c r="D293" s="63"/>
      <c r="E293" s="77"/>
      <c r="F293" s="33"/>
      <c r="G293" s="42"/>
      <c r="H293" s="43"/>
      <c r="I293" s="43"/>
      <c r="J293" s="36"/>
      <c r="K293" s="37">
        <f t="shared" si="27"/>
      </c>
      <c r="L293" s="31"/>
      <c r="M293" s="72"/>
      <c r="N293" s="73"/>
      <c r="O293" s="74"/>
      <c r="P293" s="75"/>
      <c r="Q293" s="76"/>
      <c r="S293" s="110"/>
      <c r="T293" s="12"/>
      <c r="U293" s="12"/>
      <c r="V293" s="12"/>
      <c r="W293" s="19"/>
      <c r="X293" s="111"/>
    </row>
    <row r="294" spans="1:24" ht="12.75" hidden="1" outlineLevel="1">
      <c r="A294" s="60"/>
      <c r="B294" s="61"/>
      <c r="C294" s="135">
        <v>2</v>
      </c>
      <c r="D294" s="63">
        <f>+C294*C293*B293</f>
        <v>4.2</v>
      </c>
      <c r="E294" s="77"/>
      <c r="F294" s="33"/>
      <c r="G294" s="42"/>
      <c r="H294" s="43"/>
      <c r="I294" s="43"/>
      <c r="J294" s="36"/>
      <c r="K294" s="37">
        <f t="shared" si="27"/>
      </c>
      <c r="L294" s="31"/>
      <c r="M294" s="72"/>
      <c r="N294" s="73"/>
      <c r="O294" s="74"/>
      <c r="P294" s="75"/>
      <c r="Q294" s="76"/>
      <c r="S294" s="110"/>
      <c r="T294" s="12"/>
      <c r="U294" s="12"/>
      <c r="V294" s="12"/>
      <c r="W294" s="19"/>
      <c r="X294" s="111"/>
    </row>
    <row r="295" spans="1:24" ht="12.75" hidden="1" outlineLevel="1">
      <c r="A295" s="60"/>
      <c r="B295" s="61"/>
      <c r="C295" s="62"/>
      <c r="D295" s="63"/>
      <c r="E295" s="77"/>
      <c r="F295" s="33"/>
      <c r="G295" s="42"/>
      <c r="H295" s="43"/>
      <c r="I295" s="43"/>
      <c r="J295" s="36"/>
      <c r="K295" s="37">
        <f t="shared" si="27"/>
      </c>
      <c r="L295" s="31"/>
      <c r="M295" s="72"/>
      <c r="N295" s="73"/>
      <c r="O295" s="74"/>
      <c r="P295" s="75"/>
      <c r="Q295" s="76"/>
      <c r="S295" s="110"/>
      <c r="T295" s="12"/>
      <c r="U295" s="12"/>
      <c r="V295" s="12"/>
      <c r="W295" s="19"/>
      <c r="X295" s="111"/>
    </row>
    <row r="296" spans="1:24" ht="12.75" hidden="1" outlineLevel="1">
      <c r="A296" s="60"/>
      <c r="B296" s="61"/>
      <c r="C296" s="62"/>
      <c r="D296" s="65">
        <f>SUM(D257:D295)</f>
        <v>128.94299999999998</v>
      </c>
      <c r="E296" s="77"/>
      <c r="F296" s="33"/>
      <c r="G296" s="42"/>
      <c r="H296" s="43"/>
      <c r="I296" s="43"/>
      <c r="J296" s="36"/>
      <c r="K296" s="37">
        <f t="shared" si="27"/>
      </c>
      <c r="L296" s="31"/>
      <c r="M296" s="72"/>
      <c r="N296" s="73"/>
      <c r="O296" s="74"/>
      <c r="P296" s="75"/>
      <c r="Q296" s="76"/>
      <c r="S296" s="110"/>
      <c r="T296" s="12"/>
      <c r="U296" s="12"/>
      <c r="V296" s="12"/>
      <c r="W296" s="19"/>
      <c r="X296" s="111"/>
    </row>
    <row r="297" spans="1:24" ht="12.75" hidden="1" outlineLevel="1">
      <c r="A297" s="60"/>
      <c r="B297" s="61"/>
      <c r="C297" s="62"/>
      <c r="D297" s="65"/>
      <c r="E297" s="77"/>
      <c r="F297" s="33"/>
      <c r="G297" s="42"/>
      <c r="H297" s="43"/>
      <c r="I297" s="43"/>
      <c r="J297" s="36"/>
      <c r="K297" s="37">
        <f t="shared" si="27"/>
      </c>
      <c r="L297" s="31"/>
      <c r="M297" s="72"/>
      <c r="N297" s="73"/>
      <c r="O297" s="74"/>
      <c r="P297" s="75"/>
      <c r="Q297" s="76"/>
      <c r="S297" s="110"/>
      <c r="T297" s="12"/>
      <c r="U297" s="12"/>
      <c r="V297" s="12"/>
      <c r="W297" s="19"/>
      <c r="X297" s="111"/>
    </row>
    <row r="298" spans="1:24" ht="25.5" hidden="1" outlineLevel="1">
      <c r="A298" s="60"/>
      <c r="B298" s="61"/>
      <c r="C298" s="62"/>
      <c r="D298" s="65"/>
      <c r="E298" s="44" t="s">
        <v>328</v>
      </c>
      <c r="F298" s="33">
        <f>ROUND(D310,0)</f>
        <v>60</v>
      </c>
      <c r="G298" s="42" t="s">
        <v>108</v>
      </c>
      <c r="H298" s="43">
        <v>0.1</v>
      </c>
      <c r="I298" s="43"/>
      <c r="J298" s="36">
        <f>IF(+I298+H298&gt;0,I298+(H298*labour),"")</f>
        <v>3</v>
      </c>
      <c r="K298" s="37">
        <f t="shared" si="27"/>
        <v>180</v>
      </c>
      <c r="L298" s="31"/>
      <c r="M298" s="72"/>
      <c r="N298" s="73"/>
      <c r="O298" s="74"/>
      <c r="P298" s="75"/>
      <c r="Q298" s="76"/>
      <c r="S298" s="110"/>
      <c r="T298" s="12"/>
      <c r="U298" s="12"/>
      <c r="V298" s="12"/>
      <c r="W298" s="19"/>
      <c r="X298" s="111"/>
    </row>
    <row r="299" spans="1:24" ht="12.75" hidden="1" outlineLevel="1">
      <c r="A299" s="60"/>
      <c r="B299" s="61"/>
      <c r="C299" s="135">
        <v>1.6</v>
      </c>
      <c r="D299" s="63">
        <f>+C299</f>
        <v>1.6</v>
      </c>
      <c r="E299" s="77"/>
      <c r="F299" s="33"/>
      <c r="G299" s="42"/>
      <c r="H299" s="43"/>
      <c r="I299" s="43"/>
      <c r="J299" s="36"/>
      <c r="K299" s="37">
        <f t="shared" si="27"/>
      </c>
      <c r="L299" s="31"/>
      <c r="M299" s="72"/>
      <c r="N299" s="73"/>
      <c r="O299" s="74"/>
      <c r="P299" s="75"/>
      <c r="Q299" s="76"/>
      <c r="S299" s="110"/>
      <c r="T299" s="12"/>
      <c r="U299" s="12"/>
      <c r="V299" s="12"/>
      <c r="W299" s="19"/>
      <c r="X299" s="111"/>
    </row>
    <row r="300" spans="1:24" ht="12.75" hidden="1" outlineLevel="1">
      <c r="A300" s="60"/>
      <c r="B300" s="61"/>
      <c r="C300" s="156">
        <v>1.7</v>
      </c>
      <c r="D300" s="63">
        <f aca="true" t="shared" si="29" ref="D300:D307">+C300</f>
        <v>1.7</v>
      </c>
      <c r="E300" s="77"/>
      <c r="F300" s="33"/>
      <c r="G300" s="42"/>
      <c r="H300" s="43"/>
      <c r="I300" s="43"/>
      <c r="J300" s="36"/>
      <c r="K300" s="37">
        <f t="shared" si="27"/>
      </c>
      <c r="L300" s="31"/>
      <c r="M300" s="72"/>
      <c r="N300" s="73"/>
      <c r="O300" s="74"/>
      <c r="P300" s="75">
        <f>+IF(M300="item",O300,IF(M300&lt;&gt;0,M300*O300,""))</f>
      </c>
      <c r="Q300" s="76"/>
      <c r="S300" s="110"/>
      <c r="T300" s="12"/>
      <c r="U300" s="12"/>
      <c r="V300" s="12"/>
      <c r="W300" s="19"/>
      <c r="X300" s="111"/>
    </row>
    <row r="301" spans="1:24" ht="12.75" hidden="1" outlineLevel="1">
      <c r="A301" s="60"/>
      <c r="B301" s="61"/>
      <c r="C301" s="156">
        <v>1.1</v>
      </c>
      <c r="D301" s="63">
        <f t="shared" si="29"/>
        <v>1.1</v>
      </c>
      <c r="E301" s="77"/>
      <c r="F301" s="33"/>
      <c r="G301" s="42"/>
      <c r="H301" s="43"/>
      <c r="I301" s="43"/>
      <c r="J301" s="36"/>
      <c r="K301" s="37">
        <f t="shared" si="27"/>
      </c>
      <c r="L301" s="31"/>
      <c r="M301" s="72"/>
      <c r="N301" s="73"/>
      <c r="O301" s="74"/>
      <c r="P301" s="75">
        <f>+IF(M301="item",O301,IF(M301&lt;&gt;0,M301*O301,""))</f>
      </c>
      <c r="Q301" s="76"/>
      <c r="S301" s="110"/>
      <c r="T301" s="12"/>
      <c r="U301" s="12"/>
      <c r="V301" s="12"/>
      <c r="W301" s="19"/>
      <c r="X301" s="111"/>
    </row>
    <row r="302" spans="1:24" ht="12.75" hidden="1" outlineLevel="1">
      <c r="A302" s="60"/>
      <c r="B302" s="61"/>
      <c r="C302" s="156">
        <v>1.4</v>
      </c>
      <c r="D302" s="63">
        <f t="shared" si="29"/>
        <v>1.4</v>
      </c>
      <c r="E302" s="77"/>
      <c r="F302" s="33"/>
      <c r="G302" s="42"/>
      <c r="H302" s="43"/>
      <c r="I302" s="43"/>
      <c r="J302" s="36"/>
      <c r="K302" s="37">
        <f t="shared" si="27"/>
      </c>
      <c r="L302" s="31"/>
      <c r="M302" s="72"/>
      <c r="N302" s="73"/>
      <c r="O302" s="74"/>
      <c r="P302" s="75">
        <f>+IF(M302="item",O302,IF(M302&lt;&gt;0,M302*O302,""))</f>
      </c>
      <c r="Q302" s="76"/>
      <c r="S302" s="110"/>
      <c r="T302" s="12"/>
      <c r="U302" s="12"/>
      <c r="V302" s="12"/>
      <c r="W302" s="19"/>
      <c r="X302" s="111"/>
    </row>
    <row r="303" spans="1:24" ht="12.75" hidden="1" outlineLevel="1">
      <c r="A303" s="60"/>
      <c r="B303" s="61"/>
      <c r="C303" s="156">
        <v>1.2</v>
      </c>
      <c r="D303" s="63">
        <f t="shared" si="29"/>
        <v>1.2</v>
      </c>
      <c r="E303" s="77"/>
      <c r="F303" s="33"/>
      <c r="G303" s="42"/>
      <c r="H303" s="43"/>
      <c r="I303" s="43"/>
      <c r="J303" s="36"/>
      <c r="K303" s="37">
        <f t="shared" si="27"/>
      </c>
      <c r="L303" s="31"/>
      <c r="M303" s="72"/>
      <c r="N303" s="73"/>
      <c r="O303" s="74"/>
      <c r="P303" s="75">
        <f>+IF(M303="item",O303,IF(M303&lt;&gt;0,M303*O303,""))</f>
      </c>
      <c r="Q303" s="76"/>
      <c r="S303" s="110"/>
      <c r="T303" s="12"/>
      <c r="U303" s="12"/>
      <c r="V303" s="12"/>
      <c r="W303" s="19"/>
      <c r="X303" s="111"/>
    </row>
    <row r="304" spans="1:24" ht="12.75" hidden="1" outlineLevel="1">
      <c r="A304" s="60"/>
      <c r="B304" s="61"/>
      <c r="C304" s="156">
        <v>5.7</v>
      </c>
      <c r="D304" s="63">
        <f t="shared" si="29"/>
        <v>5.7</v>
      </c>
      <c r="E304" s="77"/>
      <c r="F304" s="33"/>
      <c r="G304" s="42"/>
      <c r="H304" s="43"/>
      <c r="I304" s="43"/>
      <c r="J304" s="36"/>
      <c r="K304" s="37">
        <f t="shared" si="27"/>
      </c>
      <c r="L304" s="31"/>
      <c r="M304" s="72"/>
      <c r="N304" s="73"/>
      <c r="O304" s="74"/>
      <c r="P304" s="75"/>
      <c r="Q304" s="76"/>
      <c r="S304" s="110"/>
      <c r="T304" s="12"/>
      <c r="U304" s="12"/>
      <c r="V304" s="12"/>
      <c r="W304" s="19"/>
      <c r="X304" s="111"/>
    </row>
    <row r="305" spans="1:24" ht="12.75" hidden="1" outlineLevel="1">
      <c r="A305" s="60"/>
      <c r="B305" s="61"/>
      <c r="C305" s="156">
        <v>3.7</v>
      </c>
      <c r="D305" s="63">
        <f t="shared" si="29"/>
        <v>3.7</v>
      </c>
      <c r="E305" s="77"/>
      <c r="F305" s="33"/>
      <c r="G305" s="42"/>
      <c r="H305" s="43"/>
      <c r="I305" s="43"/>
      <c r="J305" s="36"/>
      <c r="K305" s="37">
        <f t="shared" si="27"/>
      </c>
      <c r="L305" s="31"/>
      <c r="M305" s="72"/>
      <c r="N305" s="73"/>
      <c r="O305" s="74"/>
      <c r="P305" s="75"/>
      <c r="Q305" s="76"/>
      <c r="S305" s="110"/>
      <c r="T305" s="12"/>
      <c r="U305" s="12"/>
      <c r="V305" s="12"/>
      <c r="W305" s="19"/>
      <c r="X305" s="111"/>
    </row>
    <row r="306" spans="1:24" ht="12.75" hidden="1" outlineLevel="1">
      <c r="A306" s="60"/>
      <c r="B306" s="61">
        <v>3</v>
      </c>
      <c r="C306" s="156">
        <v>1</v>
      </c>
      <c r="D306" s="63">
        <f>+C306*B306</f>
        <v>3</v>
      </c>
      <c r="E306" s="77"/>
      <c r="F306" s="33"/>
      <c r="G306" s="42"/>
      <c r="H306" s="43"/>
      <c r="I306" s="43"/>
      <c r="J306" s="36"/>
      <c r="K306" s="37">
        <f t="shared" si="27"/>
      </c>
      <c r="L306" s="31"/>
      <c r="M306" s="72"/>
      <c r="N306" s="73"/>
      <c r="O306" s="74"/>
      <c r="P306" s="75"/>
      <c r="Q306" s="76"/>
      <c r="S306" s="110"/>
      <c r="T306" s="12"/>
      <c r="U306" s="12"/>
      <c r="V306" s="12"/>
      <c r="W306" s="19"/>
      <c r="X306" s="111"/>
    </row>
    <row r="307" spans="1:24" ht="12.75" hidden="1" outlineLevel="1">
      <c r="A307" s="60"/>
      <c r="B307" s="61"/>
      <c r="C307" s="156">
        <v>0.7</v>
      </c>
      <c r="D307" s="63">
        <f t="shared" si="29"/>
        <v>0.7</v>
      </c>
      <c r="E307" s="77"/>
      <c r="F307" s="33"/>
      <c r="G307" s="42"/>
      <c r="H307" s="43"/>
      <c r="I307" s="43"/>
      <c r="J307" s="36"/>
      <c r="K307" s="37">
        <f t="shared" si="27"/>
      </c>
      <c r="L307" s="31"/>
      <c r="M307" s="72"/>
      <c r="N307" s="73"/>
      <c r="O307" s="74"/>
      <c r="P307" s="75"/>
      <c r="Q307" s="76"/>
      <c r="S307" s="110"/>
      <c r="T307" s="12"/>
      <c r="U307" s="12"/>
      <c r="V307" s="12"/>
      <c r="W307" s="19"/>
      <c r="X307" s="111"/>
    </row>
    <row r="308" spans="1:24" ht="12.75" hidden="1" outlineLevel="1">
      <c r="A308" s="60"/>
      <c r="B308" s="61">
        <v>7</v>
      </c>
      <c r="C308" s="156">
        <v>5.7</v>
      </c>
      <c r="D308" s="63">
        <f>+C308*B308</f>
        <v>39.9</v>
      </c>
      <c r="E308" s="77"/>
      <c r="F308" s="33"/>
      <c r="G308" s="42"/>
      <c r="H308" s="43"/>
      <c r="I308" s="43"/>
      <c r="J308" s="36"/>
      <c r="K308" s="37">
        <f t="shared" si="27"/>
      </c>
      <c r="L308" s="31"/>
      <c r="M308" s="72"/>
      <c r="N308" s="73"/>
      <c r="O308" s="74"/>
      <c r="P308" s="75"/>
      <c r="Q308" s="76"/>
      <c r="S308" s="110"/>
      <c r="T308" s="12"/>
      <c r="U308" s="12"/>
      <c r="V308" s="12"/>
      <c r="W308" s="19"/>
      <c r="X308" s="111"/>
    </row>
    <row r="309" spans="1:24" ht="12.75" hidden="1" outlineLevel="1">
      <c r="A309" s="60"/>
      <c r="B309" s="61"/>
      <c r="C309" s="62"/>
      <c r="D309" s="65"/>
      <c r="E309" s="77"/>
      <c r="F309" s="33"/>
      <c r="G309" s="42"/>
      <c r="H309" s="43"/>
      <c r="I309" s="43"/>
      <c r="J309" s="36"/>
      <c r="K309" s="37">
        <f t="shared" si="27"/>
      </c>
      <c r="L309" s="31"/>
      <c r="M309" s="72"/>
      <c r="N309" s="73"/>
      <c r="O309" s="74"/>
      <c r="P309" s="75">
        <f>+IF(M309="item",O309,IF(M309&lt;&gt;0,M309*O309,""))</f>
      </c>
      <c r="Q309" s="76"/>
      <c r="S309" s="110"/>
      <c r="T309" s="12"/>
      <c r="U309" s="12"/>
      <c r="V309" s="12"/>
      <c r="W309" s="19"/>
      <c r="X309" s="111"/>
    </row>
    <row r="310" spans="1:24" ht="12.75" hidden="1" outlineLevel="1">
      <c r="A310" s="60"/>
      <c r="B310" s="61"/>
      <c r="C310" s="62"/>
      <c r="D310" s="65">
        <f>SUM(D299:D309)</f>
        <v>60</v>
      </c>
      <c r="E310" s="77"/>
      <c r="F310" s="33"/>
      <c r="G310" s="42"/>
      <c r="H310" s="43"/>
      <c r="I310" s="43"/>
      <c r="J310" s="36"/>
      <c r="K310" s="37">
        <f t="shared" si="27"/>
      </c>
      <c r="L310" s="31"/>
      <c r="M310" s="72"/>
      <c r="N310" s="73"/>
      <c r="O310" s="74"/>
      <c r="P310" s="75">
        <f>+IF(M310="item",O310,IF(M310&lt;&gt;0,M310*O310,""))</f>
      </c>
      <c r="Q310" s="76"/>
      <c r="S310" s="110"/>
      <c r="T310" s="12"/>
      <c r="U310" s="12"/>
      <c r="V310" s="12"/>
      <c r="W310" s="19"/>
      <c r="X310" s="111"/>
    </row>
    <row r="311" spans="1:24" ht="12.75" hidden="1" outlineLevel="1">
      <c r="A311" s="60"/>
      <c r="B311" s="61"/>
      <c r="C311" s="62"/>
      <c r="D311" s="65"/>
      <c r="E311" s="77"/>
      <c r="F311" s="33"/>
      <c r="G311" s="42"/>
      <c r="H311" s="43"/>
      <c r="I311" s="43"/>
      <c r="J311" s="36"/>
      <c r="K311" s="37">
        <f t="shared" si="27"/>
      </c>
      <c r="L311" s="31"/>
      <c r="M311" s="72"/>
      <c r="N311" s="73"/>
      <c r="O311" s="74"/>
      <c r="P311" s="75"/>
      <c r="Q311" s="76"/>
      <c r="S311" s="110"/>
      <c r="T311" s="12"/>
      <c r="U311" s="12"/>
      <c r="V311" s="12"/>
      <c r="W311" s="19"/>
      <c r="X311" s="111"/>
    </row>
    <row r="312" spans="1:24" ht="25.5" hidden="1" outlineLevel="1">
      <c r="A312" s="60"/>
      <c r="B312" s="61"/>
      <c r="C312" s="62"/>
      <c r="D312" s="65"/>
      <c r="E312" s="44" t="s">
        <v>327</v>
      </c>
      <c r="F312" s="33">
        <f>ROUND(SUM(C299:D307),0)</f>
        <v>38</v>
      </c>
      <c r="G312" s="42" t="s">
        <v>108</v>
      </c>
      <c r="H312" s="43"/>
      <c r="I312" s="43"/>
      <c r="J312" s="36">
        <v>75</v>
      </c>
      <c r="K312" s="37">
        <f t="shared" si="27"/>
        <v>2850</v>
      </c>
      <c r="L312" s="31" t="s">
        <v>326</v>
      </c>
      <c r="M312" s="72"/>
      <c r="N312" s="73"/>
      <c r="O312" s="74"/>
      <c r="P312" s="75"/>
      <c r="Q312" s="76"/>
      <c r="S312" s="110"/>
      <c r="T312" s="12"/>
      <c r="U312" s="12"/>
      <c r="V312" s="12"/>
      <c r="W312" s="19"/>
      <c r="X312" s="111"/>
    </row>
    <row r="313" spans="1:24" ht="12.75" hidden="1" outlineLevel="1">
      <c r="A313" s="60"/>
      <c r="B313" s="61"/>
      <c r="C313" s="62"/>
      <c r="D313" s="65"/>
      <c r="E313" s="77"/>
      <c r="F313" s="33"/>
      <c r="G313" s="42"/>
      <c r="H313" s="43"/>
      <c r="I313" s="43"/>
      <c r="J313" s="36"/>
      <c r="K313" s="37">
        <f t="shared" si="27"/>
      </c>
      <c r="L313" s="31"/>
      <c r="M313" s="72"/>
      <c r="N313" s="73"/>
      <c r="O313" s="74"/>
      <c r="P313" s="75"/>
      <c r="Q313" s="76"/>
      <c r="S313" s="110"/>
      <c r="T313" s="12"/>
      <c r="U313" s="12"/>
      <c r="V313" s="12"/>
      <c r="W313" s="19"/>
      <c r="X313" s="111"/>
    </row>
    <row r="314" spans="1:24" ht="25.5" hidden="1" outlineLevel="1">
      <c r="A314" s="60"/>
      <c r="B314" s="61"/>
      <c r="C314" s="62"/>
      <c r="D314" s="65"/>
      <c r="E314" s="44" t="s">
        <v>329</v>
      </c>
      <c r="F314" s="33" t="s">
        <v>1</v>
      </c>
      <c r="G314" s="42"/>
      <c r="H314" s="43">
        <v>16</v>
      </c>
      <c r="I314" s="43">
        <v>150</v>
      </c>
      <c r="J314" s="36">
        <f>IF(+I314+H314&gt;0,I314+(H314*labour),"")</f>
        <v>630</v>
      </c>
      <c r="K314" s="37">
        <f t="shared" si="27"/>
        <v>630</v>
      </c>
      <c r="L314" s="31"/>
      <c r="M314" s="72"/>
      <c r="N314" s="73"/>
      <c r="O314" s="74"/>
      <c r="P314" s="75"/>
      <c r="Q314" s="76"/>
      <c r="S314" s="110"/>
      <c r="T314" s="12"/>
      <c r="U314" s="12"/>
      <c r="V314" s="12"/>
      <c r="W314" s="19"/>
      <c r="X314" s="111"/>
    </row>
    <row r="315" spans="1:24" ht="12.75" hidden="1" outlineLevel="1">
      <c r="A315" s="60"/>
      <c r="B315" s="61"/>
      <c r="C315" s="62"/>
      <c r="D315" s="65"/>
      <c r="E315" s="77"/>
      <c r="F315" s="33"/>
      <c r="G315" s="42"/>
      <c r="H315" s="43"/>
      <c r="I315" s="43"/>
      <c r="J315" s="36"/>
      <c r="K315" s="37">
        <f t="shared" si="27"/>
      </c>
      <c r="L315" s="31"/>
      <c r="M315" s="72"/>
      <c r="N315" s="73"/>
      <c r="O315" s="74"/>
      <c r="P315" s="75"/>
      <c r="Q315" s="76"/>
      <c r="S315" s="110"/>
      <c r="T315" s="12"/>
      <c r="U315" s="12"/>
      <c r="V315" s="12"/>
      <c r="W315" s="19"/>
      <c r="X315" s="111"/>
    </row>
    <row r="316" spans="1:24" ht="25.5" hidden="1" outlineLevel="1">
      <c r="A316" s="60"/>
      <c r="B316" s="61"/>
      <c r="C316" s="62"/>
      <c r="D316" s="65"/>
      <c r="E316" s="44" t="s">
        <v>331</v>
      </c>
      <c r="F316" s="33">
        <f>+ROUND(D320,0)</f>
        <v>26</v>
      </c>
      <c r="G316" s="42" t="s">
        <v>108</v>
      </c>
      <c r="H316" s="43"/>
      <c r="I316" s="43"/>
      <c r="J316" s="36">
        <v>25</v>
      </c>
      <c r="K316" s="37">
        <f t="shared" si="27"/>
        <v>650</v>
      </c>
      <c r="L316" s="31"/>
      <c r="M316" s="72"/>
      <c r="N316" s="73"/>
      <c r="O316" s="74"/>
      <c r="P316" s="75"/>
      <c r="Q316" s="76"/>
      <c r="S316" s="110"/>
      <c r="T316" s="12"/>
      <c r="U316" s="12"/>
      <c r="V316" s="12"/>
      <c r="W316" s="19"/>
      <c r="X316" s="111"/>
    </row>
    <row r="317" spans="1:24" ht="12.75" hidden="1" outlineLevel="1">
      <c r="A317" s="60"/>
      <c r="B317" s="61">
        <v>2</v>
      </c>
      <c r="C317" s="135">
        <v>7</v>
      </c>
      <c r="D317" s="63">
        <f>+C317*B317</f>
        <v>14</v>
      </c>
      <c r="E317" s="77"/>
      <c r="F317" s="33"/>
      <c r="G317" s="42"/>
      <c r="H317" s="43"/>
      <c r="I317" s="43"/>
      <c r="J317" s="36"/>
      <c r="K317" s="37">
        <f t="shared" si="27"/>
      </c>
      <c r="L317" s="31"/>
      <c r="M317" s="72"/>
      <c r="N317" s="73"/>
      <c r="O317" s="74"/>
      <c r="P317" s="75"/>
      <c r="Q317" s="76"/>
      <c r="S317" s="110"/>
      <c r="T317" s="12"/>
      <c r="U317" s="12"/>
      <c r="V317" s="12"/>
      <c r="W317" s="19"/>
      <c r="X317" s="111"/>
    </row>
    <row r="318" spans="1:24" ht="12.75" hidden="1" outlineLevel="1">
      <c r="A318" s="60"/>
      <c r="B318" s="61"/>
      <c r="C318" s="156">
        <v>12</v>
      </c>
      <c r="D318" s="63">
        <f>+C318</f>
        <v>12</v>
      </c>
      <c r="E318" s="77"/>
      <c r="F318" s="33"/>
      <c r="G318" s="42"/>
      <c r="H318" s="43"/>
      <c r="I318" s="43"/>
      <c r="J318" s="36"/>
      <c r="K318" s="37">
        <f t="shared" si="27"/>
      </c>
      <c r="L318" s="31"/>
      <c r="M318" s="33"/>
      <c r="N318" s="42"/>
      <c r="O318" s="36"/>
      <c r="P318" s="37"/>
      <c r="Q318" s="54"/>
      <c r="S318" s="110"/>
      <c r="T318" s="12"/>
      <c r="U318" s="12"/>
      <c r="V318" s="12"/>
      <c r="W318" s="19"/>
      <c r="X318" s="111"/>
    </row>
    <row r="319" spans="1:24" ht="12.75" hidden="1" outlineLevel="1">
      <c r="A319" s="60"/>
      <c r="B319" s="61"/>
      <c r="C319" s="62"/>
      <c r="D319" s="65"/>
      <c r="E319" s="77"/>
      <c r="F319" s="33"/>
      <c r="G319" s="42"/>
      <c r="H319" s="43"/>
      <c r="I319" s="43"/>
      <c r="J319" s="36"/>
      <c r="K319" s="37">
        <f t="shared" si="27"/>
      </c>
      <c r="L319" s="31"/>
      <c r="M319" s="33"/>
      <c r="N319" s="42"/>
      <c r="O319" s="36"/>
      <c r="P319" s="37"/>
      <c r="Q319" s="54"/>
      <c r="S319" s="110"/>
      <c r="T319" s="12"/>
      <c r="U319" s="12"/>
      <c r="V319" s="12"/>
      <c r="W319" s="19"/>
      <c r="X319" s="111"/>
    </row>
    <row r="320" spans="1:24" ht="12.75" hidden="1" outlineLevel="1">
      <c r="A320" s="60"/>
      <c r="B320" s="61"/>
      <c r="C320" s="62"/>
      <c r="D320" s="65">
        <f>SUM(D317:D319)</f>
        <v>26</v>
      </c>
      <c r="E320" s="77"/>
      <c r="F320" s="33"/>
      <c r="G320" s="42"/>
      <c r="H320" s="43"/>
      <c r="I320" s="43"/>
      <c r="J320" s="36"/>
      <c r="K320" s="37">
        <f t="shared" si="27"/>
      </c>
      <c r="L320" s="31"/>
      <c r="M320" s="33"/>
      <c r="N320" s="42"/>
      <c r="O320" s="36"/>
      <c r="P320" s="37"/>
      <c r="Q320" s="54"/>
      <c r="S320" s="110"/>
      <c r="T320" s="12"/>
      <c r="U320" s="12"/>
      <c r="V320" s="12"/>
      <c r="W320" s="19"/>
      <c r="X320" s="111"/>
    </row>
    <row r="321" spans="1:24" ht="12.75" hidden="1" outlineLevel="1">
      <c r="A321" s="60"/>
      <c r="B321" s="61"/>
      <c r="C321" s="62"/>
      <c r="D321" s="65"/>
      <c r="E321" s="77"/>
      <c r="F321" s="33"/>
      <c r="G321" s="42"/>
      <c r="H321" s="43"/>
      <c r="I321" s="43"/>
      <c r="J321" s="36"/>
      <c r="K321" s="37">
        <f t="shared" si="27"/>
      </c>
      <c r="L321" s="31"/>
      <c r="M321" s="33"/>
      <c r="N321" s="42"/>
      <c r="O321" s="36"/>
      <c r="P321" s="37"/>
      <c r="Q321" s="54"/>
      <c r="S321" s="110"/>
      <c r="T321" s="12"/>
      <c r="U321" s="12"/>
      <c r="V321" s="12"/>
      <c r="W321" s="19"/>
      <c r="X321" s="111"/>
    </row>
    <row r="322" spans="1:24" ht="25.5" hidden="1" outlineLevel="1">
      <c r="A322" s="60"/>
      <c r="B322" s="61"/>
      <c r="C322" s="62"/>
      <c r="D322" s="65"/>
      <c r="E322" s="44" t="s">
        <v>333</v>
      </c>
      <c r="F322" s="33">
        <f>+ROUND(D327,0)</f>
        <v>12</v>
      </c>
      <c r="G322" s="42" t="s">
        <v>35</v>
      </c>
      <c r="H322" s="43"/>
      <c r="I322" s="43"/>
      <c r="J322" s="36">
        <v>100</v>
      </c>
      <c r="K322" s="37">
        <f t="shared" si="27"/>
        <v>1200</v>
      </c>
      <c r="L322" s="31"/>
      <c r="M322" s="33"/>
      <c r="N322" s="42"/>
      <c r="O322" s="36"/>
      <c r="P322" s="37"/>
      <c r="Q322" s="54"/>
      <c r="S322" s="110"/>
      <c r="T322" s="12"/>
      <c r="U322" s="12"/>
      <c r="V322" s="12"/>
      <c r="W322" s="19"/>
      <c r="X322" s="111"/>
    </row>
    <row r="323" spans="1:24" ht="12.75" hidden="1" outlineLevel="1">
      <c r="A323" s="60"/>
      <c r="B323" s="61"/>
      <c r="C323" s="135">
        <v>1.7</v>
      </c>
      <c r="D323" s="63">
        <f>+C323</f>
        <v>1.7</v>
      </c>
      <c r="E323" s="77"/>
      <c r="F323" s="33"/>
      <c r="G323" s="42"/>
      <c r="H323" s="43"/>
      <c r="I323" s="43"/>
      <c r="J323" s="36"/>
      <c r="K323" s="37">
        <f t="shared" si="27"/>
      </c>
      <c r="L323" s="31"/>
      <c r="M323" s="33"/>
      <c r="N323" s="42"/>
      <c r="O323" s="36"/>
      <c r="P323" s="37"/>
      <c r="Q323" s="54"/>
      <c r="S323" s="110"/>
      <c r="T323" s="12"/>
      <c r="U323" s="12"/>
      <c r="V323" s="12"/>
      <c r="W323" s="19"/>
      <c r="X323" s="111"/>
    </row>
    <row r="324" spans="1:24" ht="12.75" hidden="1" outlineLevel="1">
      <c r="A324" s="60"/>
      <c r="B324" s="61">
        <v>2</v>
      </c>
      <c r="C324" s="156">
        <v>3.5</v>
      </c>
      <c r="D324" s="63">
        <f>+C324*B324</f>
        <v>7</v>
      </c>
      <c r="E324" s="77"/>
      <c r="F324" s="33"/>
      <c r="G324" s="42"/>
      <c r="H324" s="43"/>
      <c r="I324" s="43"/>
      <c r="J324" s="36"/>
      <c r="K324" s="37"/>
      <c r="L324" s="31"/>
      <c r="M324" s="33"/>
      <c r="N324" s="42"/>
      <c r="O324" s="36"/>
      <c r="P324" s="37"/>
      <c r="Q324" s="54"/>
      <c r="S324" s="110"/>
      <c r="T324" s="12"/>
      <c r="U324" s="12"/>
      <c r="V324" s="12"/>
      <c r="W324" s="19"/>
      <c r="X324" s="111"/>
    </row>
    <row r="325" spans="1:24" ht="12.75" hidden="1" outlineLevel="1">
      <c r="A325" s="60"/>
      <c r="B325" s="61">
        <v>3</v>
      </c>
      <c r="C325" s="156">
        <v>1</v>
      </c>
      <c r="D325" s="63">
        <f>+C325*B325</f>
        <v>3</v>
      </c>
      <c r="E325" s="77"/>
      <c r="F325" s="33"/>
      <c r="G325" s="42"/>
      <c r="H325" s="43"/>
      <c r="I325" s="43"/>
      <c r="J325" s="36"/>
      <c r="K325" s="37"/>
      <c r="L325" s="31"/>
      <c r="M325" s="33"/>
      <c r="N325" s="42"/>
      <c r="O325" s="36"/>
      <c r="P325" s="37"/>
      <c r="Q325" s="54"/>
      <c r="S325" s="110"/>
      <c r="T325" s="12"/>
      <c r="U325" s="12"/>
      <c r="V325" s="12"/>
      <c r="W325" s="19"/>
      <c r="X325" s="111"/>
    </row>
    <row r="326" spans="1:24" ht="12.75" hidden="1" outlineLevel="1">
      <c r="A326" s="60"/>
      <c r="B326" s="61"/>
      <c r="C326" s="62"/>
      <c r="D326" s="65"/>
      <c r="E326" s="77"/>
      <c r="F326" s="33"/>
      <c r="G326" s="42"/>
      <c r="H326" s="43"/>
      <c r="I326" s="43"/>
      <c r="J326" s="36"/>
      <c r="K326" s="37"/>
      <c r="L326" s="31"/>
      <c r="M326" s="33"/>
      <c r="N326" s="42"/>
      <c r="O326" s="36"/>
      <c r="P326" s="37"/>
      <c r="Q326" s="54"/>
      <c r="S326" s="110"/>
      <c r="T326" s="12"/>
      <c r="U326" s="12"/>
      <c r="V326" s="12"/>
      <c r="W326" s="19"/>
      <c r="X326" s="111"/>
    </row>
    <row r="327" spans="1:24" ht="12.75" hidden="1" outlineLevel="1">
      <c r="A327" s="60"/>
      <c r="B327" s="61"/>
      <c r="C327" s="62"/>
      <c r="D327" s="65">
        <f>SUM(D323:D326)</f>
        <v>11.7</v>
      </c>
      <c r="E327" s="77"/>
      <c r="F327" s="33"/>
      <c r="G327" s="42"/>
      <c r="H327" s="43"/>
      <c r="I327" s="43"/>
      <c r="J327" s="36"/>
      <c r="K327" s="37"/>
      <c r="L327" s="31"/>
      <c r="M327" s="33"/>
      <c r="N327" s="42"/>
      <c r="O327" s="36"/>
      <c r="P327" s="37"/>
      <c r="Q327" s="54"/>
      <c r="S327" s="110"/>
      <c r="T327" s="12"/>
      <c r="U327" s="12"/>
      <c r="V327" s="12"/>
      <c r="W327" s="19"/>
      <c r="X327" s="111"/>
    </row>
    <row r="328" spans="1:24" ht="12.75" hidden="1" outlineLevel="1">
      <c r="A328" s="60"/>
      <c r="B328" s="61"/>
      <c r="C328" s="62"/>
      <c r="D328" s="65"/>
      <c r="E328" s="77"/>
      <c r="F328" s="33"/>
      <c r="G328" s="42"/>
      <c r="H328" s="43"/>
      <c r="I328" s="43"/>
      <c r="J328" s="36"/>
      <c r="K328" s="37"/>
      <c r="L328" s="31"/>
      <c r="M328" s="33"/>
      <c r="N328" s="42"/>
      <c r="O328" s="36"/>
      <c r="P328" s="37"/>
      <c r="Q328" s="54"/>
      <c r="S328" s="110"/>
      <c r="T328" s="12"/>
      <c r="U328" s="12"/>
      <c r="V328" s="12"/>
      <c r="W328" s="19"/>
      <c r="X328" s="111"/>
    </row>
    <row r="329" spans="1:24" ht="12.75" hidden="1" outlineLevel="1">
      <c r="A329" s="60"/>
      <c r="B329" s="61"/>
      <c r="C329" s="62"/>
      <c r="D329" s="65"/>
      <c r="E329" s="77"/>
      <c r="F329" s="33"/>
      <c r="G329" s="42"/>
      <c r="H329" s="43"/>
      <c r="I329" s="43"/>
      <c r="J329" s="36"/>
      <c r="K329" s="37"/>
      <c r="L329" s="31"/>
      <c r="M329" s="33"/>
      <c r="N329" s="42"/>
      <c r="O329" s="36"/>
      <c r="P329" s="37"/>
      <c r="Q329" s="54"/>
      <c r="S329" s="110"/>
      <c r="T329" s="12"/>
      <c r="U329" s="12"/>
      <c r="V329" s="12"/>
      <c r="W329" s="19"/>
      <c r="X329" s="111"/>
    </row>
    <row r="330" spans="1:24" ht="12.75" hidden="1" outlineLevel="1">
      <c r="A330" s="60"/>
      <c r="B330" s="61"/>
      <c r="C330" s="62"/>
      <c r="D330" s="65"/>
      <c r="E330" s="77"/>
      <c r="F330" s="33"/>
      <c r="G330" s="42"/>
      <c r="H330" s="43"/>
      <c r="I330" s="43"/>
      <c r="J330" s="36"/>
      <c r="K330" s="37"/>
      <c r="L330" s="31"/>
      <c r="M330" s="33"/>
      <c r="N330" s="42"/>
      <c r="O330" s="36"/>
      <c r="P330" s="37"/>
      <c r="Q330" s="54"/>
      <c r="S330" s="110"/>
      <c r="T330" s="12"/>
      <c r="U330" s="12"/>
      <c r="V330" s="12"/>
      <c r="W330" s="19"/>
      <c r="X330" s="111"/>
    </row>
    <row r="331" spans="1:24" ht="12.75" hidden="1" outlineLevel="1">
      <c r="A331" s="60"/>
      <c r="B331" s="61"/>
      <c r="C331" s="62"/>
      <c r="D331" s="65"/>
      <c r="E331" s="44" t="s">
        <v>332</v>
      </c>
      <c r="F331" s="33">
        <f>ROUND(+D258+D262+D264+D266+D268+D270+D274,0)</f>
        <v>172</v>
      </c>
      <c r="G331" s="42" t="s">
        <v>35</v>
      </c>
      <c r="H331" s="43"/>
      <c r="I331" s="43"/>
      <c r="J331" s="36">
        <v>15</v>
      </c>
      <c r="K331" s="37">
        <f t="shared" si="27"/>
        <v>2580</v>
      </c>
      <c r="L331" s="31"/>
      <c r="M331" s="33"/>
      <c r="N331" s="42"/>
      <c r="O331" s="36"/>
      <c r="P331" s="37"/>
      <c r="Q331" s="54"/>
      <c r="S331" s="110"/>
      <c r="T331" s="12"/>
      <c r="U331" s="12"/>
      <c r="V331" s="12"/>
      <c r="W331" s="19"/>
      <c r="X331" s="111"/>
    </row>
    <row r="332" spans="1:24" ht="12.75" hidden="1" outlineLevel="1">
      <c r="A332" s="60"/>
      <c r="B332" s="61"/>
      <c r="C332" s="62"/>
      <c r="D332" s="65"/>
      <c r="E332" s="77"/>
      <c r="F332" s="33"/>
      <c r="G332" s="42"/>
      <c r="H332" s="43"/>
      <c r="I332" s="43"/>
      <c r="J332" s="36"/>
      <c r="K332" s="37">
        <f t="shared" si="27"/>
      </c>
      <c r="L332" s="31"/>
      <c r="M332" s="33"/>
      <c r="N332" s="42"/>
      <c r="O332" s="36"/>
      <c r="P332" s="37"/>
      <c r="Q332" s="54"/>
      <c r="S332" s="110"/>
      <c r="T332" s="12"/>
      <c r="U332" s="12"/>
      <c r="V332" s="12"/>
      <c r="W332" s="19"/>
      <c r="X332" s="111"/>
    </row>
    <row r="333" spans="1:24" ht="12.75" hidden="1" outlineLevel="1">
      <c r="A333" s="60"/>
      <c r="B333" s="61"/>
      <c r="C333" s="62"/>
      <c r="D333" s="65"/>
      <c r="E333" s="38" t="s">
        <v>362</v>
      </c>
      <c r="F333" s="33">
        <v>10</v>
      </c>
      <c r="G333" s="34" t="s">
        <v>363</v>
      </c>
      <c r="H333" s="39"/>
      <c r="I333" s="39"/>
      <c r="J333" s="36">
        <f>SUM(K256:K331)</f>
        <v>27440</v>
      </c>
      <c r="K333" s="37">
        <f>+J333*F333%</f>
        <v>2744</v>
      </c>
      <c r="L333" s="31"/>
      <c r="M333" s="33"/>
      <c r="N333" s="42"/>
      <c r="O333" s="36"/>
      <c r="P333" s="37"/>
      <c r="Q333" s="54"/>
      <c r="S333" s="110"/>
      <c r="T333" s="12"/>
      <c r="U333" s="12"/>
      <c r="V333" s="12"/>
      <c r="W333" s="19"/>
      <c r="X333" s="111"/>
    </row>
    <row r="334" spans="1:24" ht="12.75" hidden="1" outlineLevel="1">
      <c r="A334" s="60"/>
      <c r="B334" s="61"/>
      <c r="C334" s="62"/>
      <c r="D334" s="65"/>
      <c r="E334" s="77"/>
      <c r="F334" s="33"/>
      <c r="G334" s="42"/>
      <c r="H334" s="43"/>
      <c r="I334" s="43"/>
      <c r="J334" s="36"/>
      <c r="K334" s="37"/>
      <c r="L334" s="31"/>
      <c r="M334" s="33"/>
      <c r="N334" s="42"/>
      <c r="O334" s="36"/>
      <c r="P334" s="37"/>
      <c r="Q334" s="54"/>
      <c r="S334" s="110"/>
      <c r="T334" s="12"/>
      <c r="U334" s="12"/>
      <c r="V334" s="12"/>
      <c r="W334" s="19"/>
      <c r="X334" s="111"/>
    </row>
    <row r="335" spans="1:24" ht="12.75" collapsed="1">
      <c r="A335" s="60"/>
      <c r="B335" s="61"/>
      <c r="C335" s="62"/>
      <c r="D335" s="65"/>
      <c r="E335" s="77"/>
      <c r="F335" s="33"/>
      <c r="G335" s="42"/>
      <c r="H335" s="43"/>
      <c r="I335" s="43"/>
      <c r="J335" s="36"/>
      <c r="K335" s="37">
        <f>+IF(F335="item",J335,IF(F335&lt;&gt;0,F335*J335,""))</f>
      </c>
      <c r="L335" s="31"/>
      <c r="M335" s="33"/>
      <c r="N335" s="42"/>
      <c r="O335" s="36"/>
      <c r="P335" s="37"/>
      <c r="Q335" s="54"/>
      <c r="S335" s="110"/>
      <c r="T335" s="12"/>
      <c r="U335" s="12"/>
      <c r="V335" s="12"/>
      <c r="W335" s="19"/>
      <c r="X335" s="111"/>
    </row>
    <row r="336" spans="1:24" ht="38.25">
      <c r="A336" s="60"/>
      <c r="B336" s="61"/>
      <c r="C336" s="62"/>
      <c r="D336" s="65"/>
      <c r="E336" s="77" t="s">
        <v>143</v>
      </c>
      <c r="F336" s="33"/>
      <c r="G336" s="42"/>
      <c r="H336" s="43"/>
      <c r="I336" s="43"/>
      <c r="J336" s="36"/>
      <c r="K336" s="53">
        <f>SUM(K337:K495)</f>
        <v>28260.854111111108</v>
      </c>
      <c r="L336" s="31" t="s">
        <v>227</v>
      </c>
      <c r="M336" s="72"/>
      <c r="N336" s="73"/>
      <c r="O336" s="74"/>
      <c r="P336" s="75">
        <f aca="true" t="shared" si="30" ref="P336:P341">+IF(M336="item",O336,IF(M336&lt;&gt;0,M336*O336,""))</f>
      </c>
      <c r="Q336" s="76"/>
      <c r="S336" s="110"/>
      <c r="T336" s="12"/>
      <c r="U336" s="12"/>
      <c r="V336" s="12"/>
      <c r="W336" s="19"/>
      <c r="X336" s="116" t="s">
        <v>265</v>
      </c>
    </row>
    <row r="337" spans="1:24" ht="12.75" hidden="1" outlineLevel="1">
      <c r="A337" s="60"/>
      <c r="B337" s="61"/>
      <c r="C337" s="62"/>
      <c r="D337" s="65"/>
      <c r="E337" s="44" t="s">
        <v>175</v>
      </c>
      <c r="F337" s="33"/>
      <c r="G337" s="42"/>
      <c r="H337" s="43"/>
      <c r="I337" s="43"/>
      <c r="J337" s="36"/>
      <c r="K337" s="37"/>
      <c r="M337" s="72"/>
      <c r="N337" s="73"/>
      <c r="O337" s="74"/>
      <c r="P337" s="75">
        <f t="shared" si="30"/>
      </c>
      <c r="Q337" s="76"/>
      <c r="S337" s="113"/>
      <c r="T337" s="12"/>
      <c r="U337" s="12"/>
      <c r="V337" s="12"/>
      <c r="W337" s="19"/>
      <c r="X337" s="111"/>
    </row>
    <row r="338" spans="1:24" ht="12.75" hidden="1" outlineLevel="1">
      <c r="A338" s="60"/>
      <c r="B338" s="61"/>
      <c r="C338" s="62"/>
      <c r="D338" s="65"/>
      <c r="E338" s="44"/>
      <c r="F338" s="33"/>
      <c r="G338" s="42"/>
      <c r="H338" s="43"/>
      <c r="I338" s="43"/>
      <c r="J338" s="36"/>
      <c r="K338" s="37"/>
      <c r="L338" s="31"/>
      <c r="M338" s="72"/>
      <c r="N338" s="73"/>
      <c r="O338" s="74"/>
      <c r="P338" s="75">
        <f t="shared" si="30"/>
      </c>
      <c r="Q338" s="76"/>
      <c r="S338" s="121"/>
      <c r="T338" s="114"/>
      <c r="U338" s="12"/>
      <c r="V338" s="12"/>
      <c r="W338" s="19"/>
      <c r="X338" s="111"/>
    </row>
    <row r="339" spans="1:24" ht="12.75" hidden="1" outlineLevel="1">
      <c r="A339" s="60"/>
      <c r="B339" s="61"/>
      <c r="C339" s="62"/>
      <c r="D339" s="65"/>
      <c r="E339" s="52" t="s">
        <v>180</v>
      </c>
      <c r="F339" s="33"/>
      <c r="G339" s="42"/>
      <c r="H339" s="43"/>
      <c r="I339" s="43"/>
      <c r="J339" s="36"/>
      <c r="K339" s="37"/>
      <c r="L339" s="31"/>
      <c r="M339" s="72"/>
      <c r="N339" s="73"/>
      <c r="O339" s="74"/>
      <c r="P339" s="75">
        <f t="shared" si="30"/>
      </c>
      <c r="Q339" s="76"/>
      <c r="S339" s="110"/>
      <c r="T339" s="12"/>
      <c r="U339" s="12"/>
      <c r="V339" s="12"/>
      <c r="W339" s="19"/>
      <c r="X339" s="111"/>
    </row>
    <row r="340" spans="1:24" ht="12.75" hidden="1" outlineLevel="1">
      <c r="A340" s="60"/>
      <c r="B340" s="61"/>
      <c r="C340" s="62"/>
      <c r="D340" s="65"/>
      <c r="E340" s="44"/>
      <c r="F340" s="33"/>
      <c r="G340" s="42"/>
      <c r="H340" s="43"/>
      <c r="I340" s="43"/>
      <c r="J340" s="36"/>
      <c r="K340" s="37"/>
      <c r="L340" s="31"/>
      <c r="M340" s="72"/>
      <c r="N340" s="73"/>
      <c r="O340" s="74"/>
      <c r="P340" s="75">
        <f t="shared" si="30"/>
      </c>
      <c r="Q340" s="76"/>
      <c r="S340" s="110"/>
      <c r="T340" s="12"/>
      <c r="U340" s="12"/>
      <c r="V340" s="12"/>
      <c r="W340" s="19"/>
      <c r="X340" s="111"/>
    </row>
    <row r="341" spans="1:24" ht="12.75" hidden="1" outlineLevel="1">
      <c r="A341" s="60"/>
      <c r="B341" s="61"/>
      <c r="C341" s="62"/>
      <c r="D341" s="65"/>
      <c r="E341" s="98" t="s">
        <v>176</v>
      </c>
      <c r="F341" s="33">
        <f>ROUND(D388,0)</f>
        <v>106</v>
      </c>
      <c r="G341" s="42" t="s">
        <v>35</v>
      </c>
      <c r="H341" s="43"/>
      <c r="I341" s="43"/>
      <c r="J341" s="36">
        <f>9.02*1.2</f>
        <v>10.824</v>
      </c>
      <c r="K341" s="37">
        <f>+IF(F341="item",J341,IF(F341&lt;&gt;0,F341*J341,""))</f>
        <v>1147.344</v>
      </c>
      <c r="L341" s="6"/>
      <c r="M341" s="72"/>
      <c r="N341" s="73"/>
      <c r="O341" s="74"/>
      <c r="P341" s="75">
        <f t="shared" si="30"/>
      </c>
      <c r="Q341" s="76"/>
      <c r="S341" s="121"/>
      <c r="T341" s="114"/>
      <c r="U341" s="12"/>
      <c r="V341" s="12"/>
      <c r="W341" s="19"/>
      <c r="X341" s="111"/>
    </row>
    <row r="342" spans="1:24" ht="12.75" hidden="1" outlineLevel="1">
      <c r="A342" s="60"/>
      <c r="B342" s="61"/>
      <c r="C342" s="62"/>
      <c r="D342" s="65"/>
      <c r="E342" s="98"/>
      <c r="F342" s="33"/>
      <c r="G342" s="42"/>
      <c r="H342" s="43"/>
      <c r="I342" s="43"/>
      <c r="J342" s="36"/>
      <c r="K342" s="37"/>
      <c r="L342" s="6"/>
      <c r="M342" s="72"/>
      <c r="N342" s="73"/>
      <c r="O342" s="74"/>
      <c r="P342" s="75"/>
      <c r="Q342" s="76"/>
      <c r="S342" s="121"/>
      <c r="T342" s="114"/>
      <c r="U342" s="12"/>
      <c r="V342" s="12"/>
      <c r="W342" s="19"/>
      <c r="X342" s="111"/>
    </row>
    <row r="343" spans="1:24" ht="12.75" hidden="1" outlineLevel="1">
      <c r="A343" s="60"/>
      <c r="B343" s="61"/>
      <c r="C343" s="62">
        <v>6.7</v>
      </c>
      <c r="D343" s="63"/>
      <c r="E343" s="77"/>
      <c r="F343" s="33"/>
      <c r="G343" s="42"/>
      <c r="H343" s="43"/>
      <c r="I343" s="43"/>
      <c r="J343" s="36"/>
      <c r="K343" s="37">
        <f aca="true" t="shared" si="31" ref="K343:K388">+IF(F343="item",J343,IF(F343&lt;&gt;0,F343*J343,""))</f>
      </c>
      <c r="L343" s="31"/>
      <c r="M343" s="72"/>
      <c r="N343" s="73"/>
      <c r="O343" s="74"/>
      <c r="P343" s="75">
        <f aca="true" t="shared" si="32" ref="P343:P351">+IF(M343="item",O343,IF(M343&lt;&gt;0,M343*O343,""))</f>
      </c>
      <c r="Q343" s="76"/>
      <c r="S343" s="110"/>
      <c r="T343" s="12"/>
      <c r="U343" s="12"/>
      <c r="V343" s="12"/>
      <c r="W343" s="19"/>
      <c r="X343" s="111"/>
    </row>
    <row r="344" spans="1:24" ht="12.75" hidden="1" outlineLevel="1">
      <c r="A344" s="60"/>
      <c r="B344" s="61"/>
      <c r="C344" s="135">
        <v>5.5</v>
      </c>
      <c r="D344" s="63">
        <f>+C343*C344</f>
        <v>36.85</v>
      </c>
      <c r="E344" s="77"/>
      <c r="F344" s="33"/>
      <c r="G344" s="42"/>
      <c r="H344" s="43"/>
      <c r="I344" s="43"/>
      <c r="J344" s="36"/>
      <c r="K344" s="37">
        <f t="shared" si="31"/>
      </c>
      <c r="L344" s="31"/>
      <c r="M344" s="72"/>
      <c r="N344" s="73"/>
      <c r="O344" s="74"/>
      <c r="P344" s="75">
        <f t="shared" si="32"/>
      </c>
      <c r="Q344" s="76"/>
      <c r="S344" s="110"/>
      <c r="T344" s="12"/>
      <c r="U344" s="12"/>
      <c r="V344" s="12"/>
      <c r="W344" s="19"/>
      <c r="X344" s="111"/>
    </row>
    <row r="345" spans="1:24" ht="12.75" hidden="1" outlineLevel="1">
      <c r="A345" s="60"/>
      <c r="B345" s="61">
        <v>-1</v>
      </c>
      <c r="C345" s="62">
        <v>2.6</v>
      </c>
      <c r="D345" s="63"/>
      <c r="E345" s="77"/>
      <c r="F345" s="33"/>
      <c r="G345" s="42"/>
      <c r="H345" s="43"/>
      <c r="I345" s="43"/>
      <c r="J345" s="36"/>
      <c r="K345" s="37">
        <f t="shared" si="31"/>
      </c>
      <c r="L345" s="31"/>
      <c r="M345" s="72"/>
      <c r="N345" s="73"/>
      <c r="O345" s="74"/>
      <c r="P345" s="75">
        <f t="shared" si="32"/>
      </c>
      <c r="Q345" s="76"/>
      <c r="S345" s="110"/>
      <c r="T345" s="12"/>
      <c r="U345" s="12"/>
      <c r="V345" s="12"/>
      <c r="W345" s="19"/>
      <c r="X345" s="111"/>
    </row>
    <row r="346" spans="1:24" ht="12.75" hidden="1" outlineLevel="1">
      <c r="A346" s="60"/>
      <c r="B346" s="61"/>
      <c r="C346" s="135">
        <v>5.5</v>
      </c>
      <c r="D346" s="63">
        <f>+C346*C345*B345</f>
        <v>-14.3</v>
      </c>
      <c r="E346" s="77"/>
      <c r="F346" s="33"/>
      <c r="G346" s="42"/>
      <c r="H346" s="43"/>
      <c r="I346" s="43"/>
      <c r="J346" s="36"/>
      <c r="K346" s="37">
        <f t="shared" si="31"/>
      </c>
      <c r="L346" s="31"/>
      <c r="M346" s="72"/>
      <c r="N346" s="73"/>
      <c r="O346" s="74"/>
      <c r="P346" s="75">
        <f t="shared" si="32"/>
      </c>
      <c r="Q346" s="76"/>
      <c r="S346" s="110"/>
      <c r="T346" s="12"/>
      <c r="U346" s="12"/>
      <c r="V346" s="12"/>
      <c r="W346" s="19"/>
      <c r="X346" s="111"/>
    </row>
    <row r="347" spans="1:24" ht="12.75" hidden="1" outlineLevel="1">
      <c r="A347" s="60"/>
      <c r="B347" s="61">
        <v>3</v>
      </c>
      <c r="C347" s="62">
        <v>1</v>
      </c>
      <c r="D347" s="63"/>
      <c r="E347" s="77"/>
      <c r="F347" s="33"/>
      <c r="G347" s="42"/>
      <c r="H347" s="43"/>
      <c r="I347" s="43"/>
      <c r="J347" s="36"/>
      <c r="K347" s="37">
        <f t="shared" si="31"/>
      </c>
      <c r="L347" s="31"/>
      <c r="M347" s="72"/>
      <c r="N347" s="73"/>
      <c r="O347" s="74"/>
      <c r="P347" s="75">
        <f t="shared" si="32"/>
      </c>
      <c r="Q347" s="76"/>
      <c r="S347" s="110"/>
      <c r="T347" s="12"/>
      <c r="U347" s="12"/>
      <c r="V347" s="12"/>
      <c r="W347" s="19"/>
      <c r="X347" s="111"/>
    </row>
    <row r="348" spans="1:24" ht="12.75" hidden="1" outlineLevel="1">
      <c r="A348" s="60"/>
      <c r="B348" s="61"/>
      <c r="C348" s="135">
        <v>5.5</v>
      </c>
      <c r="D348" s="63">
        <f>+C348*C347*B347</f>
        <v>16.5</v>
      </c>
      <c r="E348" s="77"/>
      <c r="F348" s="33"/>
      <c r="G348" s="42"/>
      <c r="H348" s="43"/>
      <c r="I348" s="43"/>
      <c r="J348" s="36"/>
      <c r="K348" s="37">
        <f t="shared" si="31"/>
      </c>
      <c r="L348" s="31"/>
      <c r="M348" s="72"/>
      <c r="N348" s="73"/>
      <c r="O348" s="74"/>
      <c r="P348" s="75">
        <f t="shared" si="32"/>
      </c>
      <c r="Q348" s="76"/>
      <c r="S348" s="110"/>
      <c r="T348" s="12"/>
      <c r="U348" s="12"/>
      <c r="V348" s="12"/>
      <c r="W348" s="19"/>
      <c r="X348" s="111"/>
    </row>
    <row r="349" spans="1:24" ht="12.75" hidden="1" outlineLevel="1">
      <c r="A349" s="60"/>
      <c r="B349" s="61"/>
      <c r="C349" s="62">
        <v>7.1</v>
      </c>
      <c r="D349" s="63"/>
      <c r="E349" s="77"/>
      <c r="F349" s="33"/>
      <c r="G349" s="42"/>
      <c r="H349" s="43"/>
      <c r="I349" s="43"/>
      <c r="J349" s="36"/>
      <c r="K349" s="37">
        <f t="shared" si="31"/>
      </c>
      <c r="L349" s="31"/>
      <c r="M349" s="72"/>
      <c r="N349" s="73"/>
      <c r="O349" s="74"/>
      <c r="P349" s="75">
        <f t="shared" si="32"/>
      </c>
      <c r="Q349" s="76"/>
      <c r="S349" s="110"/>
      <c r="T349" s="12"/>
      <c r="U349" s="12"/>
      <c r="V349" s="12"/>
      <c r="W349" s="19"/>
      <c r="X349" s="111"/>
    </row>
    <row r="350" spans="1:24" ht="12.75" hidden="1" outlineLevel="1">
      <c r="A350" s="60"/>
      <c r="B350" s="61"/>
      <c r="C350" s="135">
        <v>5.5</v>
      </c>
      <c r="D350" s="63">
        <f>+C349*C350</f>
        <v>39.05</v>
      </c>
      <c r="E350" s="77"/>
      <c r="F350" s="33"/>
      <c r="G350" s="42"/>
      <c r="H350" s="43"/>
      <c r="I350" s="43"/>
      <c r="J350" s="36"/>
      <c r="K350" s="37">
        <f t="shared" si="31"/>
      </c>
      <c r="L350" s="31"/>
      <c r="M350" s="72"/>
      <c r="N350" s="73"/>
      <c r="O350" s="74"/>
      <c r="P350" s="75">
        <f t="shared" si="32"/>
      </c>
      <c r="Q350" s="76"/>
      <c r="S350" s="110"/>
      <c r="T350" s="12"/>
      <c r="U350" s="12"/>
      <c r="V350" s="12"/>
      <c r="W350" s="19"/>
      <c r="X350" s="111"/>
    </row>
    <row r="351" spans="1:24" ht="12.75" hidden="1" outlineLevel="1">
      <c r="A351" s="60"/>
      <c r="B351" s="61"/>
      <c r="C351" s="62">
        <v>1.3</v>
      </c>
      <c r="D351" s="63"/>
      <c r="E351" s="77"/>
      <c r="F351" s="33"/>
      <c r="G351" s="42"/>
      <c r="H351" s="43"/>
      <c r="I351" s="43"/>
      <c r="J351" s="36"/>
      <c r="K351" s="37">
        <f t="shared" si="31"/>
      </c>
      <c r="L351" s="31"/>
      <c r="M351" s="72"/>
      <c r="N351" s="73"/>
      <c r="O351" s="74"/>
      <c r="P351" s="75">
        <f t="shared" si="32"/>
      </c>
      <c r="Q351" s="76"/>
      <c r="S351" s="110"/>
      <c r="T351" s="12"/>
      <c r="U351" s="12"/>
      <c r="V351" s="12"/>
      <c r="W351" s="19"/>
      <c r="X351" s="111"/>
    </row>
    <row r="352" spans="1:24" ht="12.75" hidden="1" outlineLevel="1">
      <c r="A352" s="60"/>
      <c r="B352" s="61"/>
      <c r="C352" s="135">
        <v>5.5</v>
      </c>
      <c r="D352" s="63">
        <f>+C351*C352</f>
        <v>7.15</v>
      </c>
      <c r="E352" s="77"/>
      <c r="F352" s="33"/>
      <c r="G352" s="42"/>
      <c r="H352" s="43"/>
      <c r="I352" s="43"/>
      <c r="J352" s="36"/>
      <c r="K352" s="37">
        <f t="shared" si="31"/>
      </c>
      <c r="L352" s="31"/>
      <c r="M352" s="72"/>
      <c r="N352" s="73"/>
      <c r="O352" s="74"/>
      <c r="P352" s="75"/>
      <c r="Q352" s="76"/>
      <c r="S352" s="110"/>
      <c r="T352" s="12"/>
      <c r="U352" s="12"/>
      <c r="V352" s="12"/>
      <c r="W352" s="19"/>
      <c r="X352" s="111"/>
    </row>
    <row r="353" spans="1:24" ht="12.75" hidden="1" outlineLevel="1">
      <c r="A353" s="60"/>
      <c r="B353" s="61"/>
      <c r="C353" s="62">
        <v>3.95</v>
      </c>
      <c r="D353" s="63"/>
      <c r="E353" s="77"/>
      <c r="F353" s="33"/>
      <c r="G353" s="42"/>
      <c r="H353" s="43"/>
      <c r="I353" s="43"/>
      <c r="J353" s="36"/>
      <c r="K353" s="37">
        <f t="shared" si="31"/>
      </c>
      <c r="L353" s="31"/>
      <c r="M353" s="72"/>
      <c r="N353" s="73"/>
      <c r="O353" s="74"/>
      <c r="P353" s="75"/>
      <c r="Q353" s="76"/>
      <c r="S353" s="110"/>
      <c r="T353" s="12"/>
      <c r="U353" s="12"/>
      <c r="V353" s="12"/>
      <c r="W353" s="19"/>
      <c r="X353" s="111"/>
    </row>
    <row r="354" spans="1:24" ht="12.75" hidden="1" outlineLevel="1">
      <c r="A354" s="60"/>
      <c r="B354" s="61"/>
      <c r="C354" s="135">
        <v>5.5</v>
      </c>
      <c r="D354" s="63">
        <f>+C353*C354</f>
        <v>21.725</v>
      </c>
      <c r="E354" s="77"/>
      <c r="F354" s="33"/>
      <c r="G354" s="42"/>
      <c r="H354" s="43"/>
      <c r="I354" s="43"/>
      <c r="J354" s="36"/>
      <c r="K354" s="37">
        <f t="shared" si="31"/>
      </c>
      <c r="L354" s="31"/>
      <c r="M354" s="72"/>
      <c r="N354" s="73"/>
      <c r="O354" s="74"/>
      <c r="P354" s="75"/>
      <c r="Q354" s="76"/>
      <c r="S354" s="110"/>
      <c r="T354" s="12"/>
      <c r="U354" s="12"/>
      <c r="V354" s="12"/>
      <c r="W354" s="19"/>
      <c r="X354" s="111"/>
    </row>
    <row r="355" spans="1:24" ht="12.75" hidden="1" outlineLevel="1">
      <c r="A355" s="60"/>
      <c r="B355" s="61"/>
      <c r="C355" s="62">
        <v>5.6</v>
      </c>
      <c r="D355" s="63"/>
      <c r="E355" s="77"/>
      <c r="F355" s="33"/>
      <c r="G355" s="42"/>
      <c r="H355" s="43"/>
      <c r="I355" s="43"/>
      <c r="J355" s="36"/>
      <c r="K355" s="37">
        <f t="shared" si="31"/>
      </c>
      <c r="L355" s="31"/>
      <c r="M355" s="72"/>
      <c r="N355" s="73"/>
      <c r="O355" s="74"/>
      <c r="P355" s="75"/>
      <c r="Q355" s="76"/>
      <c r="S355" s="110"/>
      <c r="T355" s="12"/>
      <c r="U355" s="12"/>
      <c r="V355" s="12"/>
      <c r="W355" s="19"/>
      <c r="X355" s="111"/>
    </row>
    <row r="356" spans="1:24" ht="12.75" hidden="1" outlineLevel="1">
      <c r="A356" s="60"/>
      <c r="B356" s="61"/>
      <c r="C356" s="135">
        <v>5.5</v>
      </c>
      <c r="D356" s="63">
        <f>+C355*C356</f>
        <v>30.799999999999997</v>
      </c>
      <c r="E356" s="77"/>
      <c r="F356" s="33"/>
      <c r="G356" s="42"/>
      <c r="H356" s="43"/>
      <c r="I356" s="43"/>
      <c r="J356" s="36"/>
      <c r="K356" s="37">
        <f t="shared" si="31"/>
      </c>
      <c r="L356" s="31"/>
      <c r="M356" s="72"/>
      <c r="N356" s="73"/>
      <c r="O356" s="74"/>
      <c r="P356" s="75"/>
      <c r="Q356" s="76"/>
      <c r="S356" s="110"/>
      <c r="T356" s="12"/>
      <c r="U356" s="12"/>
      <c r="V356" s="12"/>
      <c r="W356" s="19"/>
      <c r="X356" s="111"/>
    </row>
    <row r="357" spans="1:24" ht="12.75" hidden="1" outlineLevel="1">
      <c r="A357" s="60"/>
      <c r="B357" s="61">
        <v>-1</v>
      </c>
      <c r="C357" s="62">
        <v>2.6</v>
      </c>
      <c r="D357" s="63"/>
      <c r="E357" s="77"/>
      <c r="F357" s="33"/>
      <c r="G357" s="42"/>
      <c r="H357" s="43"/>
      <c r="I357" s="43"/>
      <c r="J357" s="36"/>
      <c r="K357" s="37">
        <f t="shared" si="31"/>
      </c>
      <c r="L357" s="31"/>
      <c r="M357" s="72"/>
      <c r="N357" s="73"/>
      <c r="O357" s="74"/>
      <c r="P357" s="75"/>
      <c r="Q357" s="76"/>
      <c r="S357" s="110"/>
      <c r="T357" s="12"/>
      <c r="U357" s="12"/>
      <c r="V357" s="12"/>
      <c r="W357" s="19"/>
      <c r="X357" s="111"/>
    </row>
    <row r="358" spans="1:24" ht="12.75" hidden="1" outlineLevel="1">
      <c r="A358" s="60"/>
      <c r="B358" s="61"/>
      <c r="C358" s="135">
        <v>3.3</v>
      </c>
      <c r="D358" s="63">
        <f>+C358*C357*B357</f>
        <v>-8.58</v>
      </c>
      <c r="E358" s="77"/>
      <c r="F358" s="33"/>
      <c r="G358" s="42"/>
      <c r="H358" s="43"/>
      <c r="I358" s="43"/>
      <c r="J358" s="36"/>
      <c r="K358" s="37">
        <f t="shared" si="31"/>
      </c>
      <c r="L358" s="31"/>
      <c r="M358" s="72"/>
      <c r="N358" s="73"/>
      <c r="O358" s="74"/>
      <c r="P358" s="75"/>
      <c r="Q358" s="76"/>
      <c r="S358" s="110"/>
      <c r="T358" s="12"/>
      <c r="U358" s="12"/>
      <c r="V358" s="12"/>
      <c r="W358" s="19"/>
      <c r="X358" s="111"/>
    </row>
    <row r="359" spans="1:24" ht="12.75" hidden="1" outlineLevel="1">
      <c r="A359" s="60"/>
      <c r="B359" s="61">
        <v>3</v>
      </c>
      <c r="C359" s="62">
        <v>1</v>
      </c>
      <c r="D359" s="63"/>
      <c r="E359" s="77"/>
      <c r="F359" s="33"/>
      <c r="G359" s="42"/>
      <c r="H359" s="43"/>
      <c r="I359" s="43"/>
      <c r="J359" s="36"/>
      <c r="K359" s="37">
        <f t="shared" si="31"/>
      </c>
      <c r="L359" s="31"/>
      <c r="M359" s="72"/>
      <c r="N359" s="73"/>
      <c r="O359" s="74"/>
      <c r="P359" s="75">
        <f>+IF(M359="item",O359,IF(M359&lt;&gt;0,M359*O359,""))</f>
      </c>
      <c r="Q359" s="76"/>
      <c r="S359" s="110"/>
      <c r="T359" s="12"/>
      <c r="U359" s="12"/>
      <c r="V359" s="12"/>
      <c r="W359" s="19"/>
      <c r="X359" s="111"/>
    </row>
    <row r="360" spans="1:24" ht="12.75" hidden="1" outlineLevel="1">
      <c r="A360" s="60"/>
      <c r="B360" s="61"/>
      <c r="C360" s="135">
        <v>3.3</v>
      </c>
      <c r="D360" s="63">
        <f>+C360*C359*B359</f>
        <v>9.899999999999999</v>
      </c>
      <c r="E360" s="77"/>
      <c r="F360" s="33"/>
      <c r="G360" s="42"/>
      <c r="H360" s="43"/>
      <c r="I360" s="43"/>
      <c r="J360" s="36"/>
      <c r="K360" s="37">
        <f t="shared" si="31"/>
      </c>
      <c r="L360" s="31"/>
      <c r="M360" s="72"/>
      <c r="N360" s="73"/>
      <c r="O360" s="74"/>
      <c r="P360" s="75">
        <f>+IF(M360="item",O360,IF(M360&lt;&gt;0,M360*O360,""))</f>
      </c>
      <c r="Q360" s="76"/>
      <c r="S360" s="110"/>
      <c r="T360" s="12"/>
      <c r="U360" s="12"/>
      <c r="V360" s="12"/>
      <c r="W360" s="19"/>
      <c r="X360" s="111"/>
    </row>
    <row r="361" spans="1:24" ht="12.75" hidden="1" outlineLevel="1">
      <c r="A361" s="60"/>
      <c r="B361" s="61">
        <v>-1</v>
      </c>
      <c r="C361" s="62">
        <v>0.28</v>
      </c>
      <c r="D361" s="63"/>
      <c r="E361" s="77"/>
      <c r="F361" s="33"/>
      <c r="G361" s="42"/>
      <c r="H361" s="43"/>
      <c r="I361" s="43"/>
      <c r="J361" s="36"/>
      <c r="K361" s="37">
        <f t="shared" si="31"/>
      </c>
      <c r="L361" s="31"/>
      <c r="M361" s="72"/>
      <c r="N361" s="73"/>
      <c r="O361" s="74"/>
      <c r="P361" s="75">
        <f>+IF(M361="item",O361,IF(M361&lt;&gt;0,M361*O361,""))</f>
      </c>
      <c r="Q361" s="76"/>
      <c r="S361" s="110"/>
      <c r="T361" s="12"/>
      <c r="U361" s="12"/>
      <c r="V361" s="12"/>
      <c r="W361" s="19"/>
      <c r="X361" s="111"/>
    </row>
    <row r="362" spans="1:24" ht="12.75" hidden="1" outlineLevel="1">
      <c r="A362" s="60"/>
      <c r="B362" s="61"/>
      <c r="C362" s="135">
        <v>0.9</v>
      </c>
      <c r="D362" s="63">
        <f>+C362*C361*B361</f>
        <v>-0.25200000000000006</v>
      </c>
      <c r="E362" s="77"/>
      <c r="F362" s="33"/>
      <c r="G362" s="42"/>
      <c r="H362" s="43"/>
      <c r="I362" s="43"/>
      <c r="J362" s="36"/>
      <c r="K362" s="37">
        <f t="shared" si="31"/>
      </c>
      <c r="L362" s="31"/>
      <c r="M362" s="72"/>
      <c r="N362" s="73"/>
      <c r="O362" s="74"/>
      <c r="P362" s="75"/>
      <c r="Q362" s="76"/>
      <c r="S362" s="110"/>
      <c r="T362" s="12"/>
      <c r="U362" s="12"/>
      <c r="V362" s="12"/>
      <c r="W362" s="19"/>
      <c r="X362" s="111"/>
    </row>
    <row r="363" spans="1:24" ht="12.75" hidden="1" outlineLevel="1">
      <c r="A363" s="60"/>
      <c r="B363" s="61">
        <v>-1</v>
      </c>
      <c r="C363" s="62">
        <v>0.45</v>
      </c>
      <c r="D363" s="63"/>
      <c r="E363" s="77"/>
      <c r="F363" s="33"/>
      <c r="G363" s="42"/>
      <c r="H363" s="43"/>
      <c r="I363" s="43"/>
      <c r="J363" s="36"/>
      <c r="K363" s="37">
        <f t="shared" si="31"/>
      </c>
      <c r="L363" s="31"/>
      <c r="M363" s="72"/>
      <c r="N363" s="73"/>
      <c r="O363" s="74"/>
      <c r="P363" s="75"/>
      <c r="Q363" s="76"/>
      <c r="S363" s="110"/>
      <c r="T363" s="12"/>
      <c r="U363" s="12"/>
      <c r="V363" s="12"/>
      <c r="W363" s="19"/>
      <c r="X363" s="111"/>
    </row>
    <row r="364" spans="1:24" ht="12.75" hidden="1" outlineLevel="1">
      <c r="A364" s="60"/>
      <c r="B364" s="61"/>
      <c r="C364" s="135">
        <v>0.9</v>
      </c>
      <c r="D364" s="63">
        <f>+C364*C363*B363</f>
        <v>-0.405</v>
      </c>
      <c r="E364" s="77"/>
      <c r="F364" s="33"/>
      <c r="G364" s="42"/>
      <c r="H364" s="43"/>
      <c r="I364" s="43"/>
      <c r="J364" s="36"/>
      <c r="K364" s="37">
        <f t="shared" si="31"/>
      </c>
      <c r="L364" s="31"/>
      <c r="M364" s="72"/>
      <c r="N364" s="73"/>
      <c r="O364" s="74"/>
      <c r="P364" s="75"/>
      <c r="Q364" s="76"/>
      <c r="S364" s="110"/>
      <c r="T364" s="12"/>
      <c r="U364" s="12"/>
      <c r="V364" s="12"/>
      <c r="W364" s="19"/>
      <c r="X364" s="111"/>
    </row>
    <row r="365" spans="1:24" ht="12.75" hidden="1" outlineLevel="1">
      <c r="A365" s="60"/>
      <c r="B365" s="61">
        <v>-2</v>
      </c>
      <c r="C365" s="62">
        <v>0.55</v>
      </c>
      <c r="D365" s="63"/>
      <c r="E365" s="77"/>
      <c r="F365" s="33"/>
      <c r="G365" s="42"/>
      <c r="H365" s="43"/>
      <c r="I365" s="43"/>
      <c r="J365" s="36"/>
      <c r="K365" s="37">
        <f t="shared" si="31"/>
      </c>
      <c r="L365" s="31"/>
      <c r="M365" s="72"/>
      <c r="N365" s="73"/>
      <c r="O365" s="74"/>
      <c r="P365" s="75"/>
      <c r="Q365" s="76"/>
      <c r="S365" s="110"/>
      <c r="T365" s="12"/>
      <c r="U365" s="12"/>
      <c r="V365" s="12"/>
      <c r="W365" s="19"/>
      <c r="X365" s="111"/>
    </row>
    <row r="366" spans="1:24" ht="12.75" hidden="1" outlineLevel="1">
      <c r="A366" s="60"/>
      <c r="B366" s="61"/>
      <c r="C366" s="135">
        <v>0.9</v>
      </c>
      <c r="D366" s="63">
        <f>+C366*C365*B365</f>
        <v>-0.9900000000000001</v>
      </c>
      <c r="E366" s="77"/>
      <c r="F366" s="33"/>
      <c r="G366" s="42"/>
      <c r="H366" s="43"/>
      <c r="I366" s="43"/>
      <c r="J366" s="36"/>
      <c r="K366" s="37">
        <f t="shared" si="31"/>
      </c>
      <c r="L366" s="31"/>
      <c r="M366" s="72"/>
      <c r="N366" s="73"/>
      <c r="O366" s="74"/>
      <c r="P366" s="75"/>
      <c r="Q366" s="76"/>
      <c r="S366" s="110"/>
      <c r="T366" s="12"/>
      <c r="U366" s="12"/>
      <c r="V366" s="12"/>
      <c r="W366" s="19"/>
      <c r="X366" s="111"/>
    </row>
    <row r="367" spans="1:24" ht="12.75" hidden="1" outlineLevel="1">
      <c r="A367" s="60"/>
      <c r="B367" s="61">
        <v>-4</v>
      </c>
      <c r="C367" s="62">
        <v>0.6</v>
      </c>
      <c r="D367" s="63"/>
      <c r="E367" s="77"/>
      <c r="F367" s="33"/>
      <c r="G367" s="42"/>
      <c r="H367" s="43"/>
      <c r="I367" s="43"/>
      <c r="J367" s="36"/>
      <c r="K367" s="37">
        <f t="shared" si="31"/>
      </c>
      <c r="L367" s="31"/>
      <c r="M367" s="72"/>
      <c r="N367" s="73"/>
      <c r="O367" s="74"/>
      <c r="P367" s="75"/>
      <c r="Q367" s="76"/>
      <c r="S367" s="110"/>
      <c r="T367" s="12"/>
      <c r="U367" s="12"/>
      <c r="V367" s="12"/>
      <c r="W367" s="19"/>
      <c r="X367" s="111"/>
    </row>
    <row r="368" spans="1:24" ht="12.75" hidden="1" outlineLevel="1">
      <c r="A368" s="60"/>
      <c r="B368" s="61"/>
      <c r="C368" s="135">
        <v>1.5</v>
      </c>
      <c r="D368" s="63">
        <f>+C368*C367*B367</f>
        <v>-3.5999999999999996</v>
      </c>
      <c r="E368" s="77"/>
      <c r="F368" s="33"/>
      <c r="G368" s="42"/>
      <c r="H368" s="43"/>
      <c r="I368" s="43"/>
      <c r="J368" s="36"/>
      <c r="K368" s="37">
        <f t="shared" si="31"/>
      </c>
      <c r="L368" s="31"/>
      <c r="M368" s="72"/>
      <c r="N368" s="73"/>
      <c r="O368" s="74"/>
      <c r="P368" s="75"/>
      <c r="Q368" s="76"/>
      <c r="S368" s="110"/>
      <c r="T368" s="12"/>
      <c r="U368" s="12"/>
      <c r="V368" s="12"/>
      <c r="W368" s="19"/>
      <c r="X368" s="111"/>
    </row>
    <row r="369" spans="1:24" ht="12.75" hidden="1" outlineLevel="1">
      <c r="A369" s="60"/>
      <c r="B369" s="61">
        <v>-9</v>
      </c>
      <c r="C369" s="62">
        <v>0.68</v>
      </c>
      <c r="D369" s="63"/>
      <c r="E369" s="77"/>
      <c r="F369" s="33"/>
      <c r="G369" s="42"/>
      <c r="H369" s="43"/>
      <c r="I369" s="43"/>
      <c r="J369" s="36"/>
      <c r="K369" s="37">
        <f t="shared" si="31"/>
      </c>
      <c r="L369" s="31"/>
      <c r="M369" s="72"/>
      <c r="N369" s="73"/>
      <c r="O369" s="74"/>
      <c r="P369" s="75"/>
      <c r="Q369" s="76"/>
      <c r="S369" s="110"/>
      <c r="T369" s="12"/>
      <c r="U369" s="12"/>
      <c r="V369" s="12"/>
      <c r="W369" s="19"/>
      <c r="X369" s="111"/>
    </row>
    <row r="370" spans="1:24" ht="12.75" hidden="1" outlineLevel="1">
      <c r="A370" s="60"/>
      <c r="B370" s="61"/>
      <c r="C370" s="135">
        <v>1.5</v>
      </c>
      <c r="D370" s="63">
        <f>+C370*C369*B369</f>
        <v>-9.18</v>
      </c>
      <c r="E370" s="77"/>
      <c r="F370" s="33"/>
      <c r="G370" s="42"/>
      <c r="H370" s="43"/>
      <c r="I370" s="43"/>
      <c r="J370" s="36"/>
      <c r="K370" s="37">
        <f t="shared" si="31"/>
      </c>
      <c r="L370" s="31"/>
      <c r="M370" s="72"/>
      <c r="N370" s="73"/>
      <c r="O370" s="74"/>
      <c r="P370" s="75"/>
      <c r="Q370" s="76"/>
      <c r="S370" s="110"/>
      <c r="T370" s="12"/>
      <c r="U370" s="12"/>
      <c r="V370" s="12"/>
      <c r="W370" s="19"/>
      <c r="X370" s="111"/>
    </row>
    <row r="371" spans="1:24" ht="12.75" hidden="1" outlineLevel="1">
      <c r="A371" s="60"/>
      <c r="B371" s="61">
        <v>-2</v>
      </c>
      <c r="C371" s="62">
        <v>0.7</v>
      </c>
      <c r="D371" s="63"/>
      <c r="E371" s="77"/>
      <c r="F371" s="33"/>
      <c r="G371" s="42"/>
      <c r="H371" s="43"/>
      <c r="I371" s="43"/>
      <c r="J371" s="36"/>
      <c r="K371" s="37">
        <f t="shared" si="31"/>
      </c>
      <c r="L371" s="31"/>
      <c r="M371" s="72"/>
      <c r="N371" s="73"/>
      <c r="O371" s="74"/>
      <c r="P371" s="75"/>
      <c r="Q371" s="76"/>
      <c r="S371" s="110"/>
      <c r="T371" s="12"/>
      <c r="U371" s="12"/>
      <c r="V371" s="12"/>
      <c r="W371" s="19"/>
      <c r="X371" s="111"/>
    </row>
    <row r="372" spans="1:24" ht="12.75" hidden="1" outlineLevel="1">
      <c r="A372" s="60"/>
      <c r="B372" s="61"/>
      <c r="C372" s="135">
        <v>1</v>
      </c>
      <c r="D372" s="63">
        <f>+C372*C371*B371</f>
        <v>-1.4</v>
      </c>
      <c r="E372" s="77"/>
      <c r="F372" s="33"/>
      <c r="G372" s="42"/>
      <c r="H372" s="43"/>
      <c r="I372" s="43"/>
      <c r="J372" s="36"/>
      <c r="K372" s="37">
        <f t="shared" si="31"/>
      </c>
      <c r="L372" s="31"/>
      <c r="M372" s="72"/>
      <c r="N372" s="73"/>
      <c r="O372" s="74"/>
      <c r="P372" s="75"/>
      <c r="Q372" s="76"/>
      <c r="S372" s="110"/>
      <c r="T372" s="12"/>
      <c r="U372" s="12"/>
      <c r="V372" s="12"/>
      <c r="W372" s="19"/>
      <c r="X372" s="111"/>
    </row>
    <row r="373" spans="1:24" ht="12.75" hidden="1" outlineLevel="1">
      <c r="A373" s="60"/>
      <c r="B373" s="61">
        <v>-2</v>
      </c>
      <c r="C373" s="62">
        <v>0.9</v>
      </c>
      <c r="D373" s="63"/>
      <c r="E373" s="77"/>
      <c r="F373" s="33"/>
      <c r="G373" s="42"/>
      <c r="H373" s="43"/>
      <c r="I373" s="43"/>
      <c r="J373" s="36"/>
      <c r="K373" s="37">
        <f t="shared" si="31"/>
      </c>
      <c r="L373" s="31"/>
      <c r="M373" s="72"/>
      <c r="N373" s="73"/>
      <c r="O373" s="74"/>
      <c r="P373" s="75"/>
      <c r="Q373" s="76"/>
      <c r="S373" s="110"/>
      <c r="T373" s="12"/>
      <c r="U373" s="12"/>
      <c r="V373" s="12"/>
      <c r="W373" s="19"/>
      <c r="X373" s="111"/>
    </row>
    <row r="374" spans="1:24" ht="12.75" hidden="1" outlineLevel="1">
      <c r="A374" s="60"/>
      <c r="B374" s="61"/>
      <c r="C374" s="135">
        <v>1.2</v>
      </c>
      <c r="D374" s="63">
        <f>+C374*C373*B373</f>
        <v>-2.16</v>
      </c>
      <c r="E374" s="77"/>
      <c r="F374" s="33"/>
      <c r="G374" s="42"/>
      <c r="H374" s="43"/>
      <c r="I374" s="43"/>
      <c r="J374" s="36"/>
      <c r="K374" s="37">
        <f t="shared" si="31"/>
      </c>
      <c r="L374" s="31"/>
      <c r="M374" s="72"/>
      <c r="N374" s="73"/>
      <c r="O374" s="74"/>
      <c r="P374" s="75"/>
      <c r="Q374" s="76"/>
      <c r="S374" s="110"/>
      <c r="T374" s="12"/>
      <c r="U374" s="12"/>
      <c r="V374" s="12"/>
      <c r="W374" s="19"/>
      <c r="X374" s="111"/>
    </row>
    <row r="375" spans="1:24" ht="12.75" hidden="1" outlineLevel="1">
      <c r="A375" s="60"/>
      <c r="B375" s="61">
        <v>-1</v>
      </c>
      <c r="C375" s="62">
        <v>0.9</v>
      </c>
      <c r="D375" s="63"/>
      <c r="E375" s="77"/>
      <c r="F375" s="33"/>
      <c r="G375" s="42"/>
      <c r="H375" s="43"/>
      <c r="I375" s="43"/>
      <c r="J375" s="36"/>
      <c r="K375" s="37">
        <f t="shared" si="31"/>
      </c>
      <c r="L375" s="31"/>
      <c r="M375" s="72"/>
      <c r="N375" s="73"/>
      <c r="O375" s="74"/>
      <c r="P375" s="75"/>
      <c r="Q375" s="76"/>
      <c r="S375" s="110"/>
      <c r="T375" s="12"/>
      <c r="U375" s="12"/>
      <c r="V375" s="12"/>
      <c r="W375" s="19"/>
      <c r="X375" s="111"/>
    </row>
    <row r="376" spans="1:24" ht="12.75" hidden="1" outlineLevel="1">
      <c r="A376" s="60"/>
      <c r="B376" s="61"/>
      <c r="C376" s="135">
        <v>1.5</v>
      </c>
      <c r="D376" s="63">
        <f>+C376*C375*B375</f>
        <v>-1.35</v>
      </c>
      <c r="E376" s="77"/>
      <c r="F376" s="33"/>
      <c r="G376" s="42"/>
      <c r="H376" s="43"/>
      <c r="I376" s="43"/>
      <c r="J376" s="36"/>
      <c r="K376" s="37">
        <f t="shared" si="31"/>
      </c>
      <c r="L376" s="31"/>
      <c r="M376" s="72"/>
      <c r="N376" s="73"/>
      <c r="O376" s="74"/>
      <c r="P376" s="75"/>
      <c r="Q376" s="76"/>
      <c r="S376" s="110"/>
      <c r="T376" s="12"/>
      <c r="U376" s="12"/>
      <c r="V376" s="12"/>
      <c r="W376" s="19"/>
      <c r="X376" s="111"/>
    </row>
    <row r="377" spans="1:24" ht="12.75" hidden="1" outlineLevel="1">
      <c r="A377" s="60"/>
      <c r="B377" s="61">
        <v>-2</v>
      </c>
      <c r="C377" s="62">
        <v>1</v>
      </c>
      <c r="D377" s="63"/>
      <c r="E377" s="77"/>
      <c r="F377" s="33"/>
      <c r="G377" s="42"/>
      <c r="H377" s="43"/>
      <c r="I377" s="43"/>
      <c r="J377" s="36"/>
      <c r="K377" s="37">
        <f t="shared" si="31"/>
      </c>
      <c r="L377" s="31"/>
      <c r="M377" s="72"/>
      <c r="N377" s="73"/>
      <c r="O377" s="74"/>
      <c r="P377" s="75"/>
      <c r="Q377" s="76"/>
      <c r="S377" s="110"/>
      <c r="T377" s="12"/>
      <c r="U377" s="12"/>
      <c r="V377" s="12"/>
      <c r="W377" s="19"/>
      <c r="X377" s="111"/>
    </row>
    <row r="378" spans="1:24" ht="12.75" hidden="1" outlineLevel="1">
      <c r="A378" s="60"/>
      <c r="B378" s="61"/>
      <c r="C378" s="135">
        <v>2.4</v>
      </c>
      <c r="D378" s="63">
        <f>+C378*C377*B377</f>
        <v>-4.8</v>
      </c>
      <c r="E378" s="77"/>
      <c r="F378" s="33"/>
      <c r="G378" s="42"/>
      <c r="H378" s="43"/>
      <c r="I378" s="43"/>
      <c r="J378" s="36"/>
      <c r="K378" s="37">
        <f t="shared" si="31"/>
      </c>
      <c r="L378" s="31"/>
      <c r="M378" s="72"/>
      <c r="N378" s="73"/>
      <c r="O378" s="74"/>
      <c r="P378" s="75"/>
      <c r="Q378" s="76"/>
      <c r="S378" s="110"/>
      <c r="T378" s="12"/>
      <c r="U378" s="12"/>
      <c r="V378" s="12"/>
      <c r="W378" s="19"/>
      <c r="X378" s="111"/>
    </row>
    <row r="379" spans="1:24" ht="12.75" hidden="1" outlineLevel="1">
      <c r="A379" s="60"/>
      <c r="B379" s="61">
        <v>-3</v>
      </c>
      <c r="C379" s="62">
        <v>1</v>
      </c>
      <c r="D379" s="63"/>
      <c r="E379" s="77"/>
      <c r="F379" s="33"/>
      <c r="G379" s="42"/>
      <c r="H379" s="43"/>
      <c r="I379" s="43"/>
      <c r="J379" s="36"/>
      <c r="K379" s="37"/>
      <c r="L379" s="31"/>
      <c r="M379" s="72"/>
      <c r="N379" s="73"/>
      <c r="O379" s="74"/>
      <c r="P379" s="75"/>
      <c r="Q379" s="76"/>
      <c r="S379" s="110"/>
      <c r="T379" s="12"/>
      <c r="U379" s="12"/>
      <c r="V379" s="12"/>
      <c r="W379" s="19"/>
      <c r="X379" s="111"/>
    </row>
    <row r="380" spans="1:24" ht="12.75" hidden="1" outlineLevel="1">
      <c r="A380" s="60"/>
      <c r="B380" s="61"/>
      <c r="C380" s="135">
        <v>2.3</v>
      </c>
      <c r="D380" s="63">
        <f>+C380*C379*B379</f>
        <v>-6.8999999999999995</v>
      </c>
      <c r="E380" s="44" t="s">
        <v>338</v>
      </c>
      <c r="F380" s="33"/>
      <c r="G380" s="42"/>
      <c r="H380" s="43"/>
      <c r="I380" s="43"/>
      <c r="J380" s="36"/>
      <c r="K380" s="37"/>
      <c r="L380" s="31"/>
      <c r="M380" s="72"/>
      <c r="N380" s="73"/>
      <c r="O380" s="74"/>
      <c r="P380" s="75"/>
      <c r="Q380" s="76"/>
      <c r="S380" s="110"/>
      <c r="T380" s="12"/>
      <c r="U380" s="12"/>
      <c r="V380" s="12"/>
      <c r="W380" s="19"/>
      <c r="X380" s="111"/>
    </row>
    <row r="381" spans="1:24" ht="12.75" hidden="1" outlineLevel="1">
      <c r="A381" s="60"/>
      <c r="B381" s="66">
        <v>0.5</v>
      </c>
      <c r="C381" s="62">
        <v>4.2</v>
      </c>
      <c r="D381" s="63"/>
      <c r="E381" s="77"/>
      <c r="F381" s="33"/>
      <c r="G381" s="42"/>
      <c r="H381" s="43"/>
      <c r="I381" s="43"/>
      <c r="J381" s="36"/>
      <c r="K381" s="37">
        <f t="shared" si="31"/>
      </c>
      <c r="L381" s="31"/>
      <c r="M381" s="72"/>
      <c r="N381" s="73"/>
      <c r="O381" s="74"/>
      <c r="P381" s="75"/>
      <c r="Q381" s="76"/>
      <c r="S381" s="110"/>
      <c r="T381" s="12"/>
      <c r="U381" s="12"/>
      <c r="V381" s="12"/>
      <c r="W381" s="19"/>
      <c r="X381" s="111"/>
    </row>
    <row r="382" spans="1:24" ht="12.75" hidden="1" outlineLevel="1">
      <c r="A382" s="60"/>
      <c r="B382" s="61"/>
      <c r="C382" s="135">
        <v>2</v>
      </c>
      <c r="D382" s="63">
        <f>+C382*C381*B381</f>
        <v>4.2</v>
      </c>
      <c r="E382" s="77"/>
      <c r="F382" s="33"/>
      <c r="G382" s="42"/>
      <c r="H382" s="43"/>
      <c r="I382" s="43"/>
      <c r="J382" s="36"/>
      <c r="K382" s="37">
        <f t="shared" si="31"/>
      </c>
      <c r="L382" s="31"/>
      <c r="M382" s="72"/>
      <c r="N382" s="73"/>
      <c r="O382" s="74"/>
      <c r="P382" s="75"/>
      <c r="Q382" s="76"/>
      <c r="S382" s="110"/>
      <c r="T382" s="12"/>
      <c r="U382" s="12"/>
      <c r="V382" s="12"/>
      <c r="W382" s="19"/>
      <c r="X382" s="111"/>
    </row>
    <row r="383" spans="1:24" ht="12.75" hidden="1" outlineLevel="1">
      <c r="A383" s="60"/>
      <c r="B383" s="61">
        <v>-2</v>
      </c>
      <c r="C383" s="62">
        <v>6.8</v>
      </c>
      <c r="D383" s="63"/>
      <c r="E383" s="77"/>
      <c r="F383" s="33"/>
      <c r="G383" s="42"/>
      <c r="H383" s="43"/>
      <c r="I383" s="43"/>
      <c r="J383" s="36"/>
      <c r="K383" s="37"/>
      <c r="L383" s="31"/>
      <c r="M383" s="72"/>
      <c r="N383" s="73"/>
      <c r="O383" s="74"/>
      <c r="P383" s="75"/>
      <c r="Q383" s="76"/>
      <c r="S383" s="110"/>
      <c r="T383" s="12"/>
      <c r="U383" s="12"/>
      <c r="V383" s="12"/>
      <c r="W383" s="19"/>
      <c r="X383" s="111"/>
    </row>
    <row r="384" spans="1:24" ht="12.75" hidden="1" outlineLevel="1">
      <c r="A384" s="60"/>
      <c r="B384" s="61"/>
      <c r="C384" s="135">
        <v>0.25</v>
      </c>
      <c r="D384" s="63">
        <f>+C384*C383*B383</f>
        <v>-3.4</v>
      </c>
      <c r="E384" s="44" t="s">
        <v>335</v>
      </c>
      <c r="F384" s="33"/>
      <c r="G384" s="42"/>
      <c r="H384" s="43"/>
      <c r="I384" s="43"/>
      <c r="J384" s="36"/>
      <c r="K384" s="37"/>
      <c r="L384" s="31"/>
      <c r="M384" s="72"/>
      <c r="N384" s="73"/>
      <c r="O384" s="74"/>
      <c r="P384" s="75"/>
      <c r="Q384" s="76"/>
      <c r="S384" s="110"/>
      <c r="T384" s="12"/>
      <c r="U384" s="12"/>
      <c r="V384" s="12"/>
      <c r="W384" s="19"/>
      <c r="X384" s="111"/>
    </row>
    <row r="385" spans="1:24" ht="12.75" hidden="1" outlineLevel="1">
      <c r="A385" s="60"/>
      <c r="B385" s="61">
        <v>-1</v>
      </c>
      <c r="C385" s="62">
        <v>11</v>
      </c>
      <c r="D385" s="63"/>
      <c r="E385" s="44"/>
      <c r="F385" s="33"/>
      <c r="G385" s="42"/>
      <c r="H385" s="43"/>
      <c r="I385" s="43"/>
      <c r="J385" s="36"/>
      <c r="K385" s="37"/>
      <c r="L385" s="31"/>
      <c r="M385" s="72"/>
      <c r="N385" s="73"/>
      <c r="O385" s="74"/>
      <c r="P385" s="75"/>
      <c r="Q385" s="76"/>
      <c r="S385" s="110"/>
      <c r="T385" s="12"/>
      <c r="U385" s="12"/>
      <c r="V385" s="12"/>
      <c r="W385" s="19"/>
      <c r="X385" s="111"/>
    </row>
    <row r="386" spans="1:24" ht="12.75" hidden="1" outlineLevel="1">
      <c r="A386" s="60"/>
      <c r="B386" s="61"/>
      <c r="C386" s="135">
        <v>0.25</v>
      </c>
      <c r="D386" s="63">
        <f>+C386*C385*B385</f>
        <v>-2.75</v>
      </c>
      <c r="E386" s="44" t="s">
        <v>336</v>
      </c>
      <c r="F386" s="33"/>
      <c r="G386" s="42"/>
      <c r="H386" s="43"/>
      <c r="I386" s="43"/>
      <c r="J386" s="36"/>
      <c r="K386" s="37"/>
      <c r="L386" s="31"/>
      <c r="M386" s="72"/>
      <c r="N386" s="73"/>
      <c r="O386" s="74"/>
      <c r="P386" s="75"/>
      <c r="Q386" s="76"/>
      <c r="S386" s="110"/>
      <c r="T386" s="12"/>
      <c r="U386" s="12"/>
      <c r="V386" s="12"/>
      <c r="W386" s="19"/>
      <c r="X386" s="111"/>
    </row>
    <row r="387" spans="1:24" ht="12.75" hidden="1" outlineLevel="1">
      <c r="A387" s="60"/>
      <c r="B387" s="61"/>
      <c r="C387" s="62"/>
      <c r="D387" s="63"/>
      <c r="E387" s="44"/>
      <c r="F387" s="33"/>
      <c r="G387" s="42"/>
      <c r="H387" s="43"/>
      <c r="I387" s="43"/>
      <c r="J387" s="36"/>
      <c r="K387" s="37"/>
      <c r="L387" s="31"/>
      <c r="M387" s="72"/>
      <c r="N387" s="73"/>
      <c r="O387" s="74"/>
      <c r="P387" s="75"/>
      <c r="Q387" s="76"/>
      <c r="S387" s="110"/>
      <c r="T387" s="12"/>
      <c r="U387" s="12"/>
      <c r="V387" s="12"/>
      <c r="W387" s="19"/>
      <c r="X387" s="111"/>
    </row>
    <row r="388" spans="1:24" ht="12.75" hidden="1" outlineLevel="1">
      <c r="A388" s="60"/>
      <c r="B388" s="61"/>
      <c r="C388" s="62"/>
      <c r="D388" s="65">
        <f>SUM(D343:D387)</f>
        <v>106.10799999999995</v>
      </c>
      <c r="E388" s="77"/>
      <c r="F388" s="33"/>
      <c r="G388" s="42"/>
      <c r="H388" s="43"/>
      <c r="I388" s="43"/>
      <c r="J388" s="36"/>
      <c r="K388" s="37">
        <f t="shared" si="31"/>
      </c>
      <c r="L388" s="31"/>
      <c r="M388" s="72"/>
      <c r="N388" s="73"/>
      <c r="O388" s="74"/>
      <c r="P388" s="75"/>
      <c r="Q388" s="76"/>
      <c r="S388" s="110"/>
      <c r="T388" s="12"/>
      <c r="U388" s="12"/>
      <c r="V388" s="12"/>
      <c r="W388" s="19"/>
      <c r="X388" s="111"/>
    </row>
    <row r="389" spans="1:24" ht="12.75" hidden="1" outlineLevel="1">
      <c r="A389" s="60"/>
      <c r="B389" s="61"/>
      <c r="C389" s="62"/>
      <c r="D389" s="65"/>
      <c r="E389" s="98"/>
      <c r="F389" s="33"/>
      <c r="G389" s="42"/>
      <c r="H389" s="43"/>
      <c r="I389" s="43"/>
      <c r="J389" s="36"/>
      <c r="K389" s="37"/>
      <c r="L389" s="6"/>
      <c r="M389" s="72"/>
      <c r="N389" s="73"/>
      <c r="O389" s="74"/>
      <c r="P389" s="75"/>
      <c r="Q389" s="76"/>
      <c r="S389" s="121"/>
      <c r="T389" s="114"/>
      <c r="U389" s="12"/>
      <c r="V389" s="12"/>
      <c r="W389" s="19"/>
      <c r="X389" s="111"/>
    </row>
    <row r="390" spans="1:24" ht="12.75" hidden="1" outlineLevel="1">
      <c r="A390" s="60"/>
      <c r="B390" s="61"/>
      <c r="C390" s="62"/>
      <c r="D390" s="65"/>
      <c r="E390" s="98" t="s">
        <v>201</v>
      </c>
      <c r="F390" s="33">
        <f>+F341</f>
        <v>106</v>
      </c>
      <c r="G390" s="42" t="s">
        <v>35</v>
      </c>
      <c r="H390" s="43"/>
      <c r="I390" s="43"/>
      <c r="J390" s="36">
        <v>0.5</v>
      </c>
      <c r="K390" s="37">
        <f>+IF(F390="item",J390,IF(F390&lt;&gt;0,F390*J390,""))</f>
        <v>53</v>
      </c>
      <c r="L390" s="6"/>
      <c r="M390" s="72"/>
      <c r="N390" s="73"/>
      <c r="O390" s="74"/>
      <c r="P390" s="75">
        <f aca="true" t="shared" si="33" ref="P390:P404">+IF(M390="item",O390,IF(M390&lt;&gt;0,M390*O390,""))</f>
      </c>
      <c r="Q390" s="76"/>
      <c r="S390" s="121"/>
      <c r="T390" s="114"/>
      <c r="U390" s="12"/>
      <c r="V390" s="12"/>
      <c r="W390" s="19"/>
      <c r="X390" s="111"/>
    </row>
    <row r="391" spans="1:24" ht="12.75" hidden="1" outlineLevel="1">
      <c r="A391" s="60"/>
      <c r="B391" s="61"/>
      <c r="C391" s="62"/>
      <c r="D391" s="65"/>
      <c r="E391" s="52"/>
      <c r="F391" s="33"/>
      <c r="G391" s="42"/>
      <c r="H391" s="43"/>
      <c r="I391" s="43"/>
      <c r="J391" s="36">
        <f>IF(+I391+H391&gt;0,I391+(H391*labour),"")</f>
      </c>
      <c r="K391" s="37">
        <f>+IF(F391="item",J391,IF(F391&lt;&gt;0,F391*J391,""))</f>
      </c>
      <c r="L391" s="6"/>
      <c r="M391" s="72"/>
      <c r="N391" s="73"/>
      <c r="O391" s="74"/>
      <c r="P391" s="75">
        <f t="shared" si="33"/>
      </c>
      <c r="Q391" s="76"/>
      <c r="S391" s="110"/>
      <c r="T391" s="12"/>
      <c r="U391" s="12"/>
      <c r="V391" s="12"/>
      <c r="W391" s="19"/>
      <c r="X391" s="111"/>
    </row>
    <row r="392" spans="1:24" ht="12.75" hidden="1" outlineLevel="1">
      <c r="A392" s="60"/>
      <c r="B392" s="61"/>
      <c r="C392" s="62"/>
      <c r="D392" s="65"/>
      <c r="E392" s="98" t="s">
        <v>177</v>
      </c>
      <c r="F392" s="33">
        <f>+F390</f>
        <v>106</v>
      </c>
      <c r="G392" s="42" t="s">
        <v>35</v>
      </c>
      <c r="H392" s="43">
        <v>0.15</v>
      </c>
      <c r="I392" s="43">
        <f>+iqadhesive</f>
        <v>9.450000000000001</v>
      </c>
      <c r="J392" s="36">
        <f>IF(+I392+H392&gt;0,I392+(H392*labour),"")</f>
        <v>13.950000000000001</v>
      </c>
      <c r="K392" s="37">
        <f>+IF(F392="item",J392,IF(F392&lt;&gt;0,F392*J392,""))</f>
        <v>1478.7</v>
      </c>
      <c r="L392" s="6"/>
      <c r="M392" s="72"/>
      <c r="N392" s="73"/>
      <c r="O392" s="74"/>
      <c r="P392" s="75">
        <f t="shared" si="33"/>
      </c>
      <c r="Q392" s="76"/>
      <c r="S392" s="121"/>
      <c r="T392" s="114"/>
      <c r="U392" s="12"/>
      <c r="V392" s="12"/>
      <c r="W392" s="19"/>
      <c r="X392" s="111"/>
    </row>
    <row r="393" spans="1:24" ht="12.75" hidden="1" outlineLevel="1">
      <c r="A393" s="60"/>
      <c r="B393" s="61"/>
      <c r="C393" s="62"/>
      <c r="D393" s="65"/>
      <c r="E393" s="52"/>
      <c r="F393" s="33"/>
      <c r="G393" s="42"/>
      <c r="H393" s="43"/>
      <c r="I393" s="43"/>
      <c r="J393" s="36"/>
      <c r="K393" s="37"/>
      <c r="L393" s="31"/>
      <c r="M393" s="72"/>
      <c r="N393" s="73"/>
      <c r="O393" s="74"/>
      <c r="P393" s="75">
        <f t="shared" si="33"/>
      </c>
      <c r="Q393" s="76"/>
      <c r="S393" s="110"/>
      <c r="T393" s="12"/>
      <c r="U393" s="12"/>
      <c r="V393" s="12"/>
      <c r="W393" s="19"/>
      <c r="X393" s="111"/>
    </row>
    <row r="394" spans="1:24" ht="12.75" hidden="1" outlineLevel="1">
      <c r="A394" s="60"/>
      <c r="B394" s="61"/>
      <c r="C394" s="62"/>
      <c r="D394" s="65"/>
      <c r="E394" s="98" t="s">
        <v>200</v>
      </c>
      <c r="F394" s="33">
        <f>+F390</f>
        <v>106</v>
      </c>
      <c r="G394" s="42" t="s">
        <v>35</v>
      </c>
      <c r="H394" s="43">
        <v>0.25</v>
      </c>
      <c r="I394" s="39">
        <f>+iqtherm</f>
        <v>74.51388888888889</v>
      </c>
      <c r="J394" s="36">
        <f aca="true" t="shared" si="34" ref="J394:J403">IF(+I394+H394&gt;0,I394+(H394*labour),"")</f>
        <v>82.01388888888889</v>
      </c>
      <c r="K394" s="37">
        <f aca="true" t="shared" si="35" ref="K394:K458">+IF(F394="item",J394,IF(F394&lt;&gt;0,F394*J394,""))</f>
        <v>8693.472222222223</v>
      </c>
      <c r="L394" s="31"/>
      <c r="M394" s="72"/>
      <c r="N394" s="73"/>
      <c r="O394" s="74"/>
      <c r="P394" s="75">
        <f t="shared" si="33"/>
      </c>
      <c r="Q394" s="76"/>
      <c r="S394" s="121"/>
      <c r="T394" s="114"/>
      <c r="U394" s="12"/>
      <c r="V394" s="12"/>
      <c r="W394" s="19"/>
      <c r="X394" s="111"/>
    </row>
    <row r="395" spans="1:24" ht="12.75" hidden="1" outlineLevel="1">
      <c r="A395" s="60"/>
      <c r="B395" s="61"/>
      <c r="C395" s="62"/>
      <c r="D395" s="65"/>
      <c r="E395" s="98"/>
      <c r="F395" s="33"/>
      <c r="G395" s="42"/>
      <c r="H395" s="43"/>
      <c r="I395" s="43"/>
      <c r="J395" s="36">
        <f t="shared" si="34"/>
      </c>
      <c r="K395" s="37">
        <f t="shared" si="35"/>
      </c>
      <c r="L395" s="31"/>
      <c r="M395" s="72"/>
      <c r="N395" s="73"/>
      <c r="O395" s="74"/>
      <c r="P395" s="75">
        <f t="shared" si="33"/>
      </c>
      <c r="Q395" s="76"/>
      <c r="S395" s="110"/>
      <c r="T395" s="12"/>
      <c r="U395" s="12"/>
      <c r="V395" s="12"/>
      <c r="W395" s="19"/>
      <c r="X395" s="111"/>
    </row>
    <row r="396" spans="1:24" ht="12.75" hidden="1" outlineLevel="1">
      <c r="A396" s="60"/>
      <c r="B396" s="61"/>
      <c r="C396" s="62"/>
      <c r="D396" s="65"/>
      <c r="E396" s="98" t="s">
        <v>217</v>
      </c>
      <c r="F396" s="33">
        <f>+F394</f>
        <v>106</v>
      </c>
      <c r="G396" s="42" t="s">
        <v>35</v>
      </c>
      <c r="H396" s="43">
        <v>1</v>
      </c>
      <c r="I396" s="43">
        <f>iqtop</f>
        <v>20.3</v>
      </c>
      <c r="J396" s="36">
        <f t="shared" si="34"/>
        <v>50.3</v>
      </c>
      <c r="K396" s="37">
        <f t="shared" si="35"/>
        <v>5331.799999999999</v>
      </c>
      <c r="L396" s="31"/>
      <c r="M396" s="72"/>
      <c r="N396" s="73"/>
      <c r="O396" s="74"/>
      <c r="P396" s="75">
        <f t="shared" si="33"/>
      </c>
      <c r="Q396" s="76"/>
      <c r="S396" s="121"/>
      <c r="T396" s="114"/>
      <c r="U396" s="12"/>
      <c r="V396" s="12"/>
      <c r="W396" s="19"/>
      <c r="X396" s="111"/>
    </row>
    <row r="397" spans="1:24" ht="12.75" hidden="1" outlineLevel="1">
      <c r="A397" s="60"/>
      <c r="B397" s="61"/>
      <c r="C397" s="62"/>
      <c r="D397" s="65"/>
      <c r="E397" s="98"/>
      <c r="F397" s="33"/>
      <c r="G397" s="42"/>
      <c r="H397" s="43"/>
      <c r="I397" s="43"/>
      <c r="J397" s="36">
        <f t="shared" si="34"/>
      </c>
      <c r="K397" s="37">
        <f t="shared" si="35"/>
      </c>
      <c r="L397" s="31"/>
      <c r="M397" s="72"/>
      <c r="N397" s="73"/>
      <c r="O397" s="74"/>
      <c r="P397" s="75">
        <f t="shared" si="33"/>
      </c>
      <c r="Q397" s="76"/>
      <c r="S397" s="110"/>
      <c r="T397" s="12"/>
      <c r="U397" s="12"/>
      <c r="V397" s="12"/>
      <c r="W397" s="19"/>
      <c r="X397" s="111"/>
    </row>
    <row r="398" spans="1:24" ht="12.75" hidden="1" outlineLevel="1">
      <c r="A398" s="60"/>
      <c r="B398" s="61"/>
      <c r="C398" s="62"/>
      <c r="D398" s="65"/>
      <c r="E398" s="98" t="s">
        <v>178</v>
      </c>
      <c r="F398" s="33">
        <f>+F396</f>
        <v>106</v>
      </c>
      <c r="G398" s="42" t="s">
        <v>35</v>
      </c>
      <c r="H398" s="43">
        <v>0.1</v>
      </c>
      <c r="I398" s="43">
        <f>+iqreinforce</f>
        <v>3.696</v>
      </c>
      <c r="J398" s="36">
        <f t="shared" si="34"/>
        <v>6.696</v>
      </c>
      <c r="K398" s="37">
        <f t="shared" si="35"/>
        <v>709.776</v>
      </c>
      <c r="L398" s="31"/>
      <c r="M398" s="72"/>
      <c r="N398" s="73"/>
      <c r="O398" s="74"/>
      <c r="P398" s="75">
        <f t="shared" si="33"/>
      </c>
      <c r="Q398" s="76"/>
      <c r="S398" s="121"/>
      <c r="T398" s="114"/>
      <c r="U398" s="12"/>
      <c r="V398" s="12"/>
      <c r="W398" s="19"/>
      <c r="X398" s="111"/>
    </row>
    <row r="399" spans="1:24" ht="12.75" hidden="1" outlineLevel="1">
      <c r="A399" s="60"/>
      <c r="B399" s="61"/>
      <c r="C399" s="62"/>
      <c r="D399" s="65"/>
      <c r="E399" s="98"/>
      <c r="F399" s="33"/>
      <c r="G399" s="42"/>
      <c r="H399" s="43"/>
      <c r="I399" s="43"/>
      <c r="J399" s="36">
        <f t="shared" si="34"/>
      </c>
      <c r="K399" s="37">
        <f t="shared" si="35"/>
      </c>
      <c r="L399" s="31"/>
      <c r="M399" s="72"/>
      <c r="N399" s="73"/>
      <c r="O399" s="74"/>
      <c r="P399" s="75">
        <f t="shared" si="33"/>
      </c>
      <c r="Q399" s="76"/>
      <c r="S399" s="110"/>
      <c r="T399" s="12"/>
      <c r="U399" s="12"/>
      <c r="V399" s="12"/>
      <c r="W399" s="19"/>
      <c r="X399" s="111"/>
    </row>
    <row r="400" spans="1:24" ht="12.75" hidden="1" outlineLevel="1">
      <c r="A400" s="60"/>
      <c r="B400" s="61"/>
      <c r="C400" s="62"/>
      <c r="D400" s="65"/>
      <c r="E400" s="98" t="s">
        <v>179</v>
      </c>
      <c r="F400" s="33">
        <f>+F398</f>
        <v>106</v>
      </c>
      <c r="G400" s="42" t="s">
        <v>35</v>
      </c>
      <c r="H400" s="43">
        <v>0.25</v>
      </c>
      <c r="I400" s="43">
        <f>+iqfinish</f>
        <v>5.6000000000000005</v>
      </c>
      <c r="J400" s="36">
        <f t="shared" si="34"/>
        <v>13.100000000000001</v>
      </c>
      <c r="K400" s="37">
        <f t="shared" si="35"/>
        <v>1388.6000000000001</v>
      </c>
      <c r="L400" s="31"/>
      <c r="M400" s="72"/>
      <c r="N400" s="73"/>
      <c r="O400" s="74"/>
      <c r="P400" s="75">
        <f t="shared" si="33"/>
      </c>
      <c r="Q400" s="76"/>
      <c r="S400" s="121"/>
      <c r="T400" s="114"/>
      <c r="U400" s="12"/>
      <c r="V400" s="12"/>
      <c r="W400" s="19"/>
      <c r="X400" s="111"/>
    </row>
    <row r="401" spans="1:24" ht="12.75" hidden="1" outlineLevel="1">
      <c r="A401" s="60"/>
      <c r="B401" s="61"/>
      <c r="C401" s="62"/>
      <c r="D401" s="65"/>
      <c r="E401" s="44"/>
      <c r="F401" s="33"/>
      <c r="G401" s="42"/>
      <c r="H401" s="43"/>
      <c r="I401" s="43"/>
      <c r="J401" s="36">
        <f t="shared" si="34"/>
      </c>
      <c r="K401" s="37">
        <f t="shared" si="35"/>
      </c>
      <c r="L401" s="31" t="s">
        <v>221</v>
      </c>
      <c r="M401" s="72"/>
      <c r="N401" s="73"/>
      <c r="O401" s="74"/>
      <c r="P401" s="75">
        <f t="shared" si="33"/>
      </c>
      <c r="Q401" s="76"/>
      <c r="S401" s="110"/>
      <c r="T401" s="12"/>
      <c r="U401" s="12"/>
      <c r="V401" s="12"/>
      <c r="W401" s="19"/>
      <c r="X401" s="111"/>
    </row>
    <row r="402" spans="1:24" ht="12.75" hidden="1" outlineLevel="1">
      <c r="A402" s="60"/>
      <c r="B402" s="61"/>
      <c r="C402" s="62"/>
      <c r="D402" s="65"/>
      <c r="E402" s="52" t="s">
        <v>183</v>
      </c>
      <c r="F402" s="33"/>
      <c r="G402" s="42"/>
      <c r="H402" s="43"/>
      <c r="I402" s="43"/>
      <c r="J402" s="36">
        <f t="shared" si="34"/>
      </c>
      <c r="K402" s="37">
        <f t="shared" si="35"/>
      </c>
      <c r="L402" s="31" t="s">
        <v>222</v>
      </c>
      <c r="M402" s="72"/>
      <c r="N402" s="73"/>
      <c r="O402" s="74"/>
      <c r="P402" s="75">
        <f t="shared" si="33"/>
      </c>
      <c r="Q402" s="76"/>
      <c r="S402" s="110"/>
      <c r="T402" s="12"/>
      <c r="U402" s="12"/>
      <c r="V402" s="12"/>
      <c r="W402" s="19"/>
      <c r="X402" s="111"/>
    </row>
    <row r="403" spans="1:24" ht="12.75" hidden="1" outlineLevel="1">
      <c r="A403" s="60"/>
      <c r="B403" s="61"/>
      <c r="C403" s="62"/>
      <c r="D403" s="65"/>
      <c r="E403" s="44"/>
      <c r="F403" s="33"/>
      <c r="G403" s="42"/>
      <c r="H403" s="43"/>
      <c r="I403" s="43"/>
      <c r="J403" s="36">
        <f t="shared" si="34"/>
      </c>
      <c r="K403" s="37">
        <f t="shared" si="35"/>
      </c>
      <c r="L403" s="31" t="s">
        <v>223</v>
      </c>
      <c r="M403" s="72"/>
      <c r="N403" s="73"/>
      <c r="O403" s="74"/>
      <c r="P403" s="75">
        <f t="shared" si="33"/>
      </c>
      <c r="Q403" s="76"/>
      <c r="S403" s="110"/>
      <c r="T403" s="12"/>
      <c r="U403" s="12"/>
      <c r="V403" s="12"/>
      <c r="W403" s="19"/>
      <c r="X403" s="111"/>
    </row>
    <row r="404" spans="1:24" ht="12.75" hidden="1" outlineLevel="1">
      <c r="A404" s="60"/>
      <c r="B404" s="61"/>
      <c r="C404" s="62"/>
      <c r="D404" s="65"/>
      <c r="E404" s="98" t="s">
        <v>176</v>
      </c>
      <c r="F404" s="33">
        <f>ROUND(D407,0)</f>
        <v>6</v>
      </c>
      <c r="G404" s="42" t="s">
        <v>35</v>
      </c>
      <c r="H404" s="43"/>
      <c r="I404" s="43"/>
      <c r="J404" s="36">
        <f>+J341</f>
        <v>10.824</v>
      </c>
      <c r="K404" s="37">
        <f t="shared" si="35"/>
        <v>64.944</v>
      </c>
      <c r="L404" s="31" t="s">
        <v>224</v>
      </c>
      <c r="M404" s="72"/>
      <c r="N404" s="73"/>
      <c r="O404" s="74"/>
      <c r="P404" s="75">
        <f t="shared" si="33"/>
      </c>
      <c r="Q404" s="76"/>
      <c r="S404" s="121"/>
      <c r="T404" s="114"/>
      <c r="U404" s="12"/>
      <c r="V404" s="12"/>
      <c r="W404" s="19"/>
      <c r="X404" s="111"/>
    </row>
    <row r="405" spans="1:24" ht="12.75" hidden="1" outlineLevel="1">
      <c r="A405" s="60"/>
      <c r="B405" s="61"/>
      <c r="C405" s="62"/>
      <c r="D405" s="65"/>
      <c r="E405" s="98"/>
      <c r="F405" s="33"/>
      <c r="G405" s="42"/>
      <c r="H405" s="43"/>
      <c r="I405" s="43"/>
      <c r="J405" s="36"/>
      <c r="K405" s="37"/>
      <c r="L405" s="31"/>
      <c r="M405" s="72"/>
      <c r="N405" s="73"/>
      <c r="O405" s="74"/>
      <c r="P405" s="75"/>
      <c r="Q405" s="76"/>
      <c r="S405" s="121"/>
      <c r="T405" s="114"/>
      <c r="U405" s="12"/>
      <c r="V405" s="12"/>
      <c r="W405" s="19"/>
      <c r="X405" s="111"/>
    </row>
    <row r="406" spans="1:24" ht="12.75" hidden="1" outlineLevel="1">
      <c r="A406" s="60"/>
      <c r="B406" s="61">
        <v>7</v>
      </c>
      <c r="C406" s="62">
        <v>0.3</v>
      </c>
      <c r="D406" s="65"/>
      <c r="E406" s="98"/>
      <c r="F406" s="33"/>
      <c r="G406" s="42"/>
      <c r="H406" s="43"/>
      <c r="I406" s="43"/>
      <c r="J406" s="36"/>
      <c r="K406" s="37"/>
      <c r="L406" s="31"/>
      <c r="M406" s="72"/>
      <c r="N406" s="73"/>
      <c r="O406" s="74"/>
      <c r="P406" s="75"/>
      <c r="Q406" s="76"/>
      <c r="S406" s="121"/>
      <c r="T406" s="114"/>
      <c r="U406" s="12"/>
      <c r="V406" s="12"/>
      <c r="W406" s="19"/>
      <c r="X406" s="111"/>
    </row>
    <row r="407" spans="1:24" ht="12.75" hidden="1" outlineLevel="1">
      <c r="A407" s="60"/>
      <c r="B407" s="61"/>
      <c r="C407" s="135">
        <v>2.7</v>
      </c>
      <c r="D407" s="65">
        <f>+B406*C406*C407</f>
        <v>5.670000000000001</v>
      </c>
      <c r="E407" s="98"/>
      <c r="F407" s="33"/>
      <c r="G407" s="42"/>
      <c r="H407" s="43"/>
      <c r="I407" s="43"/>
      <c r="J407" s="36"/>
      <c r="K407" s="37"/>
      <c r="L407" s="31"/>
      <c r="M407" s="72"/>
      <c r="N407" s="73"/>
      <c r="O407" s="74"/>
      <c r="P407" s="75"/>
      <c r="Q407" s="76"/>
      <c r="S407" s="121"/>
      <c r="T407" s="114"/>
      <c r="U407" s="12"/>
      <c r="V407" s="12"/>
      <c r="W407" s="19"/>
      <c r="X407" s="111"/>
    </row>
    <row r="408" spans="1:24" ht="12.75" hidden="1" outlineLevel="1">
      <c r="A408" s="60"/>
      <c r="B408" s="61"/>
      <c r="C408" s="62"/>
      <c r="D408" s="65"/>
      <c r="E408" s="98"/>
      <c r="F408" s="33"/>
      <c r="G408" s="42"/>
      <c r="H408" s="43"/>
      <c r="I408" s="43"/>
      <c r="J408" s="36"/>
      <c r="K408" s="37"/>
      <c r="L408" s="31"/>
      <c r="M408" s="72"/>
      <c r="N408" s="73"/>
      <c r="O408" s="74"/>
      <c r="P408" s="75"/>
      <c r="Q408" s="76"/>
      <c r="S408" s="121"/>
      <c r="T408" s="114"/>
      <c r="U408" s="12"/>
      <c r="V408" s="12"/>
      <c r="W408" s="19"/>
      <c r="X408" s="111"/>
    </row>
    <row r="409" spans="1:24" ht="12.75" hidden="1" outlineLevel="1">
      <c r="A409" s="60"/>
      <c r="B409" s="61"/>
      <c r="C409" s="62"/>
      <c r="D409" s="65"/>
      <c r="E409" s="98" t="s">
        <v>201</v>
      </c>
      <c r="F409" s="33">
        <f>+F404</f>
        <v>6</v>
      </c>
      <c r="G409" s="42" t="s">
        <v>35</v>
      </c>
      <c r="H409" s="43"/>
      <c r="I409" s="43"/>
      <c r="J409" s="36">
        <f>+J390</f>
        <v>0.5</v>
      </c>
      <c r="K409" s="37">
        <f t="shared" si="35"/>
        <v>3</v>
      </c>
      <c r="L409" s="31"/>
      <c r="M409" s="72"/>
      <c r="N409" s="73"/>
      <c r="O409" s="74"/>
      <c r="P409" s="75">
        <f aca="true" t="shared" si="36" ref="P409:P423">+IF(M409="item",O409,IF(M409&lt;&gt;0,M409*O409,""))</f>
      </c>
      <c r="Q409" s="76"/>
      <c r="S409" s="121"/>
      <c r="T409" s="114"/>
      <c r="U409" s="12"/>
      <c r="V409" s="12"/>
      <c r="W409" s="19"/>
      <c r="X409" s="111"/>
    </row>
    <row r="410" spans="1:24" ht="12.75" hidden="1" outlineLevel="1">
      <c r="A410" s="60"/>
      <c r="B410" s="61"/>
      <c r="C410" s="62"/>
      <c r="D410" s="65"/>
      <c r="E410" s="52"/>
      <c r="F410" s="33"/>
      <c r="G410" s="42"/>
      <c r="H410" s="43"/>
      <c r="I410" s="43"/>
      <c r="J410" s="36"/>
      <c r="K410" s="37">
        <f t="shared" si="35"/>
      </c>
      <c r="L410" s="31"/>
      <c r="M410" s="72"/>
      <c r="N410" s="73"/>
      <c r="O410" s="74"/>
      <c r="P410" s="75">
        <f t="shared" si="36"/>
      </c>
      <c r="Q410" s="76"/>
      <c r="S410" s="110"/>
      <c r="T410" s="12"/>
      <c r="U410" s="12"/>
      <c r="V410" s="12"/>
      <c r="W410" s="19"/>
      <c r="X410" s="111"/>
    </row>
    <row r="411" spans="1:24" ht="12.75" hidden="1" outlineLevel="1">
      <c r="A411" s="60"/>
      <c r="B411" s="61"/>
      <c r="C411" s="62"/>
      <c r="D411" s="65"/>
      <c r="E411" s="98" t="s">
        <v>177</v>
      </c>
      <c r="F411" s="33">
        <f>+F409</f>
        <v>6</v>
      </c>
      <c r="G411" s="42" t="s">
        <v>35</v>
      </c>
      <c r="H411" s="43">
        <v>0.15</v>
      </c>
      <c r="I411" s="43">
        <f>+iqadhesive</f>
        <v>9.450000000000001</v>
      </c>
      <c r="J411" s="36">
        <f>IF(+I411+H411&gt;0,I411+(H411*labour),"")</f>
        <v>13.950000000000001</v>
      </c>
      <c r="K411" s="37">
        <f t="shared" si="35"/>
        <v>83.7</v>
      </c>
      <c r="L411" s="31"/>
      <c r="M411" s="72"/>
      <c r="N411" s="73"/>
      <c r="O411" s="74"/>
      <c r="P411" s="75">
        <f t="shared" si="36"/>
      </c>
      <c r="Q411" s="76"/>
      <c r="S411" s="121"/>
      <c r="T411" s="114"/>
      <c r="U411" s="12"/>
      <c r="V411" s="12"/>
      <c r="W411" s="19"/>
      <c r="X411" s="111"/>
    </row>
    <row r="412" spans="1:24" ht="12.75" hidden="1" outlineLevel="1">
      <c r="A412" s="60"/>
      <c r="B412" s="61"/>
      <c r="C412" s="62"/>
      <c r="D412" s="65"/>
      <c r="E412" s="98"/>
      <c r="F412" s="33"/>
      <c r="G412" s="42"/>
      <c r="H412" s="43"/>
      <c r="I412" s="43"/>
      <c r="J412" s="36">
        <f>IF(+I412+H412&gt;0,I412+(H412*labour),"")</f>
      </c>
      <c r="K412" s="37">
        <f t="shared" si="35"/>
      </c>
      <c r="L412" s="31"/>
      <c r="M412" s="72"/>
      <c r="N412" s="73"/>
      <c r="O412" s="74"/>
      <c r="P412" s="75">
        <f t="shared" si="36"/>
      </c>
      <c r="Q412" s="76"/>
      <c r="S412" s="110"/>
      <c r="T412" s="12"/>
      <c r="U412" s="12"/>
      <c r="V412" s="12"/>
      <c r="W412" s="19"/>
      <c r="X412" s="111"/>
    </row>
    <row r="413" spans="1:24" ht="12.75" hidden="1" outlineLevel="1">
      <c r="A413" s="60"/>
      <c r="B413" s="61"/>
      <c r="C413" s="62"/>
      <c r="D413" s="65"/>
      <c r="E413" s="98" t="s">
        <v>182</v>
      </c>
      <c r="F413" s="33">
        <f>+F411</f>
        <v>6</v>
      </c>
      <c r="G413" s="42" t="s">
        <v>35</v>
      </c>
      <c r="H413" s="43">
        <v>0.25</v>
      </c>
      <c r="I413" s="43">
        <f>iqwedge</f>
        <v>67.96875</v>
      </c>
      <c r="J413" s="36">
        <f>IF(+I413+H413&gt;0,I413+(H413*labour),"")</f>
        <v>75.46875</v>
      </c>
      <c r="K413" s="37">
        <f t="shared" si="35"/>
        <v>452.8125</v>
      </c>
      <c r="L413" s="31"/>
      <c r="M413" s="72"/>
      <c r="N413" s="73"/>
      <c r="O413" s="74"/>
      <c r="P413" s="75">
        <f t="shared" si="36"/>
      </c>
      <c r="Q413" s="76"/>
      <c r="S413" s="121"/>
      <c r="T413" s="114"/>
      <c r="U413" s="12"/>
      <c r="V413" s="12"/>
      <c r="W413" s="19"/>
      <c r="X413" s="111"/>
    </row>
    <row r="414" spans="1:24" ht="12.75" hidden="1" outlineLevel="1">
      <c r="A414" s="60"/>
      <c r="B414" s="61"/>
      <c r="C414" s="62"/>
      <c r="D414" s="65"/>
      <c r="E414" s="98"/>
      <c r="F414" s="33"/>
      <c r="G414" s="42"/>
      <c r="H414" s="43"/>
      <c r="I414" s="43"/>
      <c r="J414" s="36">
        <f>IF(+I414+H414&gt;0,I414+(H414*labour),"")</f>
      </c>
      <c r="K414" s="37">
        <f t="shared" si="35"/>
      </c>
      <c r="L414" s="31"/>
      <c r="M414" s="72"/>
      <c r="N414" s="73"/>
      <c r="O414" s="74"/>
      <c r="P414" s="75">
        <f t="shared" si="36"/>
      </c>
      <c r="Q414" s="76"/>
      <c r="S414" s="110"/>
      <c r="T414" s="12"/>
      <c r="U414" s="12"/>
      <c r="V414" s="12"/>
      <c r="W414" s="19"/>
      <c r="X414" s="111"/>
    </row>
    <row r="415" spans="1:24" ht="12.75" hidden="1" outlineLevel="1">
      <c r="A415" s="60"/>
      <c r="B415" s="61"/>
      <c r="C415" s="62"/>
      <c r="D415" s="65"/>
      <c r="E415" s="98" t="s">
        <v>217</v>
      </c>
      <c r="F415" s="33">
        <f>+F404</f>
        <v>6</v>
      </c>
      <c r="G415" s="42" t="s">
        <v>35</v>
      </c>
      <c r="H415" s="43">
        <v>1</v>
      </c>
      <c r="I415" s="43">
        <f>iqtop</f>
        <v>20.3</v>
      </c>
      <c r="J415" s="36">
        <f>IF(+I415+H415&gt;0,I415+(H415*labour),"")</f>
        <v>50.3</v>
      </c>
      <c r="K415" s="37">
        <f t="shared" si="35"/>
        <v>301.79999999999995</v>
      </c>
      <c r="L415" s="31"/>
      <c r="M415" s="72"/>
      <c r="N415" s="73"/>
      <c r="O415" s="74"/>
      <c r="P415" s="75">
        <f t="shared" si="36"/>
      </c>
      <c r="Q415" s="76"/>
      <c r="S415" s="121"/>
      <c r="T415" s="114"/>
      <c r="U415" s="12"/>
      <c r="V415" s="12"/>
      <c r="W415" s="19"/>
      <c r="X415" s="111"/>
    </row>
    <row r="416" spans="1:24" ht="12.75" hidden="1" outlineLevel="1">
      <c r="A416" s="60"/>
      <c r="B416" s="61"/>
      <c r="C416" s="62"/>
      <c r="D416" s="65"/>
      <c r="E416" s="98"/>
      <c r="F416" s="33"/>
      <c r="G416" s="42"/>
      <c r="H416" s="43"/>
      <c r="I416" s="43"/>
      <c r="J416" s="36"/>
      <c r="K416" s="37">
        <f t="shared" si="35"/>
      </c>
      <c r="L416" s="31"/>
      <c r="M416" s="72"/>
      <c r="N416" s="73"/>
      <c r="O416" s="74"/>
      <c r="P416" s="75">
        <f t="shared" si="36"/>
      </c>
      <c r="Q416" s="76"/>
      <c r="S416" s="110"/>
      <c r="T416" s="12"/>
      <c r="U416" s="12"/>
      <c r="V416" s="12"/>
      <c r="W416" s="19"/>
      <c r="X416" s="111"/>
    </row>
    <row r="417" spans="1:24" ht="12.75" hidden="1" outlineLevel="1">
      <c r="A417" s="60"/>
      <c r="B417" s="61"/>
      <c r="C417" s="62"/>
      <c r="D417" s="65"/>
      <c r="E417" s="98" t="s">
        <v>178</v>
      </c>
      <c r="F417" s="33">
        <f>+F404</f>
        <v>6</v>
      </c>
      <c r="G417" s="42" t="s">
        <v>35</v>
      </c>
      <c r="H417" s="43">
        <v>0.1</v>
      </c>
      <c r="I417" s="43">
        <f>+iqreinforce</f>
        <v>3.696</v>
      </c>
      <c r="J417" s="36">
        <f>IF(+I417+H417&gt;0,I417+(H417*labour),"")</f>
        <v>6.696</v>
      </c>
      <c r="K417" s="37">
        <f t="shared" si="35"/>
        <v>40.176</v>
      </c>
      <c r="L417" s="31"/>
      <c r="M417" s="72"/>
      <c r="N417" s="73"/>
      <c r="O417" s="74"/>
      <c r="P417" s="75">
        <f t="shared" si="36"/>
      </c>
      <c r="Q417" s="76"/>
      <c r="S417" s="121"/>
      <c r="T417" s="114"/>
      <c r="U417" s="12"/>
      <c r="V417" s="12"/>
      <c r="W417" s="19"/>
      <c r="X417" s="111"/>
    </row>
    <row r="418" spans="1:24" ht="12.75" hidden="1" outlineLevel="1">
      <c r="A418" s="60"/>
      <c r="B418" s="61"/>
      <c r="C418" s="62"/>
      <c r="D418" s="65"/>
      <c r="E418" s="98"/>
      <c r="F418" s="33"/>
      <c r="G418" s="42"/>
      <c r="H418" s="43"/>
      <c r="I418" s="43"/>
      <c r="J418" s="36"/>
      <c r="K418" s="37">
        <f t="shared" si="35"/>
      </c>
      <c r="L418" s="31"/>
      <c r="M418" s="72"/>
      <c r="N418" s="73"/>
      <c r="O418" s="74"/>
      <c r="P418" s="75">
        <f t="shared" si="36"/>
      </c>
      <c r="Q418" s="76"/>
      <c r="S418" s="110"/>
      <c r="T418" s="12"/>
      <c r="U418" s="12"/>
      <c r="V418" s="12"/>
      <c r="W418" s="19"/>
      <c r="X418" s="111"/>
    </row>
    <row r="419" spans="1:24" ht="12.75" hidden="1" outlineLevel="1">
      <c r="A419" s="60"/>
      <c r="B419" s="61"/>
      <c r="C419" s="62"/>
      <c r="D419" s="65"/>
      <c r="E419" s="98" t="s">
        <v>179</v>
      </c>
      <c r="F419" s="33">
        <f>+F404</f>
        <v>6</v>
      </c>
      <c r="G419" s="42" t="s">
        <v>35</v>
      </c>
      <c r="H419" s="43">
        <v>0.25</v>
      </c>
      <c r="I419" s="43">
        <f>+iqfinish</f>
        <v>5.6000000000000005</v>
      </c>
      <c r="J419" s="36">
        <f>IF(+I419+H419&gt;0,I419+(H419*labour),"")</f>
        <v>13.100000000000001</v>
      </c>
      <c r="K419" s="37">
        <f t="shared" si="35"/>
        <v>78.60000000000001</v>
      </c>
      <c r="L419" s="31"/>
      <c r="M419" s="72"/>
      <c r="N419" s="73"/>
      <c r="O419" s="74"/>
      <c r="P419" s="75">
        <f t="shared" si="36"/>
      </c>
      <c r="Q419" s="76"/>
      <c r="S419" s="121"/>
      <c r="T419" s="114"/>
      <c r="U419" s="12"/>
      <c r="V419" s="12"/>
      <c r="W419" s="19"/>
      <c r="X419" s="111"/>
    </row>
    <row r="420" spans="1:24" ht="12.75" hidden="1" outlineLevel="1">
      <c r="A420" s="60"/>
      <c r="B420" s="61"/>
      <c r="C420" s="62"/>
      <c r="D420" s="65"/>
      <c r="E420" s="44"/>
      <c r="F420" s="33"/>
      <c r="G420" s="42"/>
      <c r="H420" s="43"/>
      <c r="I420" s="43"/>
      <c r="J420" s="36"/>
      <c r="K420" s="37">
        <f t="shared" si="35"/>
      </c>
      <c r="L420" s="31"/>
      <c r="M420" s="72"/>
      <c r="N420" s="73"/>
      <c r="O420" s="74"/>
      <c r="P420" s="75">
        <f t="shared" si="36"/>
      </c>
      <c r="Q420" s="76"/>
      <c r="S420" s="110"/>
      <c r="T420" s="12"/>
      <c r="U420" s="12"/>
      <c r="V420" s="12"/>
      <c r="W420" s="19"/>
      <c r="X420" s="111"/>
    </row>
    <row r="421" spans="1:24" ht="12.75" hidden="1" outlineLevel="1">
      <c r="A421" s="60"/>
      <c r="B421" s="61"/>
      <c r="C421" s="62"/>
      <c r="D421" s="65"/>
      <c r="E421" s="52" t="s">
        <v>181</v>
      </c>
      <c r="F421" s="33"/>
      <c r="G421" s="42"/>
      <c r="H421" s="43"/>
      <c r="I421" s="43"/>
      <c r="J421" s="36"/>
      <c r="K421" s="37">
        <f t="shared" si="35"/>
      </c>
      <c r="L421" s="31"/>
      <c r="M421" s="72"/>
      <c r="N421" s="73"/>
      <c r="O421" s="74"/>
      <c r="P421" s="75">
        <f t="shared" si="36"/>
      </c>
      <c r="Q421" s="76"/>
      <c r="S421" s="110"/>
      <c r="T421" s="12"/>
      <c r="U421" s="12"/>
      <c r="V421" s="12"/>
      <c r="W421" s="19"/>
      <c r="X421" s="111"/>
    </row>
    <row r="422" spans="1:24" ht="12.75" hidden="1" outlineLevel="1">
      <c r="A422" s="60"/>
      <c r="B422" s="61"/>
      <c r="C422" s="62"/>
      <c r="D422" s="65"/>
      <c r="E422" s="44"/>
      <c r="F422" s="33"/>
      <c r="G422" s="42"/>
      <c r="H422" s="43"/>
      <c r="I422" s="43"/>
      <c r="J422" s="36"/>
      <c r="K422" s="37">
        <f t="shared" si="35"/>
      </c>
      <c r="L422" s="31"/>
      <c r="M422" s="72"/>
      <c r="N422" s="73"/>
      <c r="O422" s="74"/>
      <c r="P422" s="75">
        <f t="shared" si="36"/>
      </c>
      <c r="Q422" s="76"/>
      <c r="S422" s="110"/>
      <c r="T422" s="12"/>
      <c r="U422" s="12"/>
      <c r="V422" s="12"/>
      <c r="W422" s="19"/>
      <c r="X422" s="111"/>
    </row>
    <row r="423" spans="1:24" ht="12.75" hidden="1" outlineLevel="1">
      <c r="A423" s="60"/>
      <c r="B423" s="61"/>
      <c r="C423" s="62"/>
      <c r="D423" s="65"/>
      <c r="E423" s="98" t="s">
        <v>176</v>
      </c>
      <c r="F423" s="33">
        <f>ROUND(D446,0)</f>
        <v>15</v>
      </c>
      <c r="G423" s="42" t="s">
        <v>35</v>
      </c>
      <c r="H423" s="43"/>
      <c r="I423" s="43"/>
      <c r="J423" s="36">
        <f>+J404</f>
        <v>10.824</v>
      </c>
      <c r="K423" s="37">
        <f t="shared" si="35"/>
        <v>162.35999999999999</v>
      </c>
      <c r="L423" s="31"/>
      <c r="M423" s="72"/>
      <c r="N423" s="73"/>
      <c r="O423" s="74"/>
      <c r="P423" s="75">
        <f t="shared" si="36"/>
      </c>
      <c r="Q423" s="76"/>
      <c r="S423" s="121"/>
      <c r="T423" s="114"/>
      <c r="U423" s="12"/>
      <c r="V423" s="12"/>
      <c r="W423" s="19"/>
      <c r="X423" s="111"/>
    </row>
    <row r="424" spans="1:24" ht="12.75" hidden="1" outlineLevel="1">
      <c r="A424" s="60"/>
      <c r="B424" s="61">
        <f>-B361</f>
        <v>1</v>
      </c>
      <c r="C424" s="62">
        <f>+C361</f>
        <v>0.28</v>
      </c>
      <c r="D424" s="63">
        <f>+C424*B424</f>
        <v>0.28</v>
      </c>
      <c r="E424" s="98"/>
      <c r="F424" s="33"/>
      <c r="G424" s="42"/>
      <c r="H424" s="43"/>
      <c r="I424" s="43"/>
      <c r="J424" s="36"/>
      <c r="K424" s="37"/>
      <c r="L424" s="31"/>
      <c r="M424" s="72"/>
      <c r="N424" s="73"/>
      <c r="O424" s="74"/>
      <c r="P424" s="75"/>
      <c r="Q424" s="76"/>
      <c r="S424" s="121"/>
      <c r="T424" s="114"/>
      <c r="U424" s="12"/>
      <c r="V424" s="12"/>
      <c r="W424" s="19"/>
      <c r="X424" s="111"/>
    </row>
    <row r="425" spans="1:24" ht="12.75" hidden="1" outlineLevel="1">
      <c r="A425" s="60"/>
      <c r="B425" s="61">
        <v>2</v>
      </c>
      <c r="C425" s="62">
        <f aca="true" t="shared" si="37" ref="C425:C441">+C362</f>
        <v>0.9</v>
      </c>
      <c r="D425" s="63">
        <f aca="true" t="shared" si="38" ref="D425:D441">+C425*B425</f>
        <v>1.8</v>
      </c>
      <c r="E425" s="98"/>
      <c r="F425" s="33"/>
      <c r="G425" s="42"/>
      <c r="H425" s="43"/>
      <c r="I425" s="43"/>
      <c r="J425" s="36"/>
      <c r="K425" s="37"/>
      <c r="L425" s="31"/>
      <c r="M425" s="72"/>
      <c r="N425" s="73"/>
      <c r="O425" s="74"/>
      <c r="P425" s="75"/>
      <c r="Q425" s="76"/>
      <c r="S425" s="121"/>
      <c r="T425" s="114"/>
      <c r="U425" s="12"/>
      <c r="V425" s="12"/>
      <c r="W425" s="19"/>
      <c r="X425" s="111"/>
    </row>
    <row r="426" spans="1:24" ht="12.75" hidden="1" outlineLevel="1">
      <c r="A426" s="60"/>
      <c r="B426" s="61">
        <f aca="true" t="shared" si="39" ref="B426:B440">-B363</f>
        <v>1</v>
      </c>
      <c r="C426" s="62">
        <f t="shared" si="37"/>
        <v>0.45</v>
      </c>
      <c r="D426" s="63">
        <f t="shared" si="38"/>
        <v>0.45</v>
      </c>
      <c r="E426" s="98"/>
      <c r="F426" s="33"/>
      <c r="G426" s="42"/>
      <c r="H426" s="43"/>
      <c r="I426" s="43"/>
      <c r="J426" s="36"/>
      <c r="K426" s="37"/>
      <c r="L426" s="31"/>
      <c r="M426" s="72"/>
      <c r="N426" s="73"/>
      <c r="O426" s="74"/>
      <c r="P426" s="75"/>
      <c r="Q426" s="76"/>
      <c r="S426" s="121"/>
      <c r="T426" s="114"/>
      <c r="U426" s="12"/>
      <c r="V426" s="12"/>
      <c r="W426" s="19"/>
      <c r="X426" s="111"/>
    </row>
    <row r="427" spans="1:24" ht="12.75" hidden="1" outlineLevel="1">
      <c r="A427" s="60"/>
      <c r="B427" s="61">
        <v>2</v>
      </c>
      <c r="C427" s="62">
        <f t="shared" si="37"/>
        <v>0.9</v>
      </c>
      <c r="D427" s="63">
        <f t="shared" si="38"/>
        <v>1.8</v>
      </c>
      <c r="E427" s="98"/>
      <c r="F427" s="33"/>
      <c r="G427" s="42"/>
      <c r="H427" s="43"/>
      <c r="I427" s="43"/>
      <c r="J427" s="36"/>
      <c r="K427" s="37"/>
      <c r="L427" s="31"/>
      <c r="M427" s="72"/>
      <c r="N427" s="73"/>
      <c r="O427" s="74"/>
      <c r="P427" s="75"/>
      <c r="Q427" s="76"/>
      <c r="S427" s="121"/>
      <c r="T427" s="114"/>
      <c r="U427" s="12"/>
      <c r="V427" s="12"/>
      <c r="W427" s="19"/>
      <c r="X427" s="111"/>
    </row>
    <row r="428" spans="1:24" ht="12.75" hidden="1" outlineLevel="1">
      <c r="A428" s="60"/>
      <c r="B428" s="61">
        <f t="shared" si="39"/>
        <v>2</v>
      </c>
      <c r="C428" s="62">
        <f t="shared" si="37"/>
        <v>0.55</v>
      </c>
      <c r="D428" s="63">
        <f t="shared" si="38"/>
        <v>1.1</v>
      </c>
      <c r="E428" s="98"/>
      <c r="F428" s="33"/>
      <c r="G428" s="42"/>
      <c r="H428" s="43"/>
      <c r="I428" s="43"/>
      <c r="J428" s="36"/>
      <c r="K428" s="37"/>
      <c r="L428" s="31"/>
      <c r="M428" s="72"/>
      <c r="N428" s="73"/>
      <c r="O428" s="74"/>
      <c r="P428" s="75"/>
      <c r="Q428" s="76"/>
      <c r="S428" s="121"/>
      <c r="T428" s="114"/>
      <c r="U428" s="12"/>
      <c r="V428" s="12"/>
      <c r="W428" s="19"/>
      <c r="X428" s="111"/>
    </row>
    <row r="429" spans="1:24" ht="12.75" hidden="1" outlineLevel="1">
      <c r="A429" s="60"/>
      <c r="B429" s="61">
        <v>4</v>
      </c>
      <c r="C429" s="62">
        <f t="shared" si="37"/>
        <v>0.9</v>
      </c>
      <c r="D429" s="63">
        <f t="shared" si="38"/>
        <v>3.6</v>
      </c>
      <c r="E429" s="98"/>
      <c r="F429" s="33"/>
      <c r="G429" s="42"/>
      <c r="H429" s="43"/>
      <c r="I429" s="43"/>
      <c r="J429" s="36"/>
      <c r="K429" s="37"/>
      <c r="L429" s="31"/>
      <c r="M429" s="72"/>
      <c r="N429" s="73"/>
      <c r="O429" s="74"/>
      <c r="P429" s="75"/>
      <c r="Q429" s="76"/>
      <c r="S429" s="121"/>
      <c r="T429" s="114"/>
      <c r="U429" s="12"/>
      <c r="V429" s="12"/>
      <c r="W429" s="19"/>
      <c r="X429" s="111"/>
    </row>
    <row r="430" spans="1:24" ht="12.75" hidden="1" outlineLevel="1">
      <c r="A430" s="60"/>
      <c r="B430" s="61">
        <f t="shared" si="39"/>
        <v>4</v>
      </c>
      <c r="C430" s="62">
        <f t="shared" si="37"/>
        <v>0.6</v>
      </c>
      <c r="D430" s="63">
        <f t="shared" si="38"/>
        <v>2.4</v>
      </c>
      <c r="E430" s="98"/>
      <c r="F430" s="33"/>
      <c r="G430" s="42"/>
      <c r="H430" s="43"/>
      <c r="I430" s="43"/>
      <c r="J430" s="36"/>
      <c r="K430" s="37"/>
      <c r="L430" s="31"/>
      <c r="M430" s="72"/>
      <c r="N430" s="73"/>
      <c r="O430" s="74"/>
      <c r="P430" s="75"/>
      <c r="Q430" s="76"/>
      <c r="S430" s="121"/>
      <c r="T430" s="114"/>
      <c r="U430" s="12"/>
      <c r="V430" s="12"/>
      <c r="W430" s="19"/>
      <c r="X430" s="111"/>
    </row>
    <row r="431" spans="1:24" ht="12.75" hidden="1" outlineLevel="1">
      <c r="A431" s="60"/>
      <c r="B431" s="61">
        <v>8</v>
      </c>
      <c r="C431" s="62">
        <f t="shared" si="37"/>
        <v>1.5</v>
      </c>
      <c r="D431" s="63">
        <f t="shared" si="38"/>
        <v>12</v>
      </c>
      <c r="E431" s="98"/>
      <c r="F431" s="33"/>
      <c r="G431" s="42"/>
      <c r="H431" s="43"/>
      <c r="I431" s="43"/>
      <c r="J431" s="36"/>
      <c r="K431" s="37"/>
      <c r="L431" s="31"/>
      <c r="M431" s="72"/>
      <c r="N431" s="73"/>
      <c r="O431" s="74"/>
      <c r="P431" s="75"/>
      <c r="Q431" s="76"/>
      <c r="S431" s="121"/>
      <c r="T431" s="114"/>
      <c r="U431" s="12"/>
      <c r="V431" s="12"/>
      <c r="W431" s="19"/>
      <c r="X431" s="111"/>
    </row>
    <row r="432" spans="1:24" ht="12.75" hidden="1" outlineLevel="1">
      <c r="A432" s="60"/>
      <c r="B432" s="61">
        <f t="shared" si="39"/>
        <v>9</v>
      </c>
      <c r="C432" s="62">
        <f t="shared" si="37"/>
        <v>0.68</v>
      </c>
      <c r="D432" s="63">
        <f t="shared" si="38"/>
        <v>6.12</v>
      </c>
      <c r="E432" s="98"/>
      <c r="F432" s="33"/>
      <c r="G432" s="42"/>
      <c r="H432" s="43"/>
      <c r="I432" s="43"/>
      <c r="J432" s="36"/>
      <c r="K432" s="37"/>
      <c r="L432" s="31"/>
      <c r="M432" s="72"/>
      <c r="N432" s="73"/>
      <c r="O432" s="74"/>
      <c r="P432" s="75"/>
      <c r="Q432" s="76"/>
      <c r="S432" s="121"/>
      <c r="T432" s="114"/>
      <c r="U432" s="12"/>
      <c r="V432" s="12"/>
      <c r="W432" s="19"/>
      <c r="X432" s="111"/>
    </row>
    <row r="433" spans="1:24" ht="12.75" hidden="1" outlineLevel="1">
      <c r="A433" s="60"/>
      <c r="B433" s="61">
        <v>18</v>
      </c>
      <c r="C433" s="62">
        <f t="shared" si="37"/>
        <v>1.5</v>
      </c>
      <c r="D433" s="63">
        <f t="shared" si="38"/>
        <v>27</v>
      </c>
      <c r="E433" s="98"/>
      <c r="F433" s="33"/>
      <c r="G433" s="42"/>
      <c r="H433" s="43"/>
      <c r="I433" s="43"/>
      <c r="J433" s="36"/>
      <c r="K433" s="37"/>
      <c r="L433" s="31"/>
      <c r="M433" s="72"/>
      <c r="N433" s="73"/>
      <c r="O433" s="74"/>
      <c r="P433" s="75"/>
      <c r="Q433" s="76"/>
      <c r="S433" s="121"/>
      <c r="T433" s="114"/>
      <c r="U433" s="12"/>
      <c r="V433" s="12"/>
      <c r="W433" s="19"/>
      <c r="X433" s="111"/>
    </row>
    <row r="434" spans="1:24" ht="12.75" hidden="1" outlineLevel="1">
      <c r="A434" s="60"/>
      <c r="B434" s="61">
        <f t="shared" si="39"/>
        <v>2</v>
      </c>
      <c r="C434" s="62">
        <f t="shared" si="37"/>
        <v>0.7</v>
      </c>
      <c r="D434" s="63">
        <f t="shared" si="38"/>
        <v>1.4</v>
      </c>
      <c r="E434" s="98"/>
      <c r="F434" s="33"/>
      <c r="G434" s="42"/>
      <c r="H434" s="43"/>
      <c r="I434" s="43"/>
      <c r="J434" s="36"/>
      <c r="K434" s="37"/>
      <c r="L434" s="31"/>
      <c r="M434" s="72"/>
      <c r="N434" s="73"/>
      <c r="O434" s="74"/>
      <c r="P434" s="75"/>
      <c r="Q434" s="76"/>
      <c r="S434" s="121"/>
      <c r="T434" s="114"/>
      <c r="U434" s="12"/>
      <c r="V434" s="12"/>
      <c r="W434" s="19"/>
      <c r="X434" s="111"/>
    </row>
    <row r="435" spans="1:24" ht="12.75" hidden="1" outlineLevel="1">
      <c r="A435" s="60"/>
      <c r="B435" s="61">
        <v>4</v>
      </c>
      <c r="C435" s="62">
        <f t="shared" si="37"/>
        <v>1</v>
      </c>
      <c r="D435" s="63">
        <f t="shared" si="38"/>
        <v>4</v>
      </c>
      <c r="E435" s="98"/>
      <c r="F435" s="33"/>
      <c r="G435" s="42"/>
      <c r="H435" s="43"/>
      <c r="I435" s="43"/>
      <c r="J435" s="36"/>
      <c r="K435" s="37"/>
      <c r="L435" s="31"/>
      <c r="M435" s="72"/>
      <c r="N435" s="73"/>
      <c r="O435" s="74"/>
      <c r="P435" s="75"/>
      <c r="Q435" s="76"/>
      <c r="S435" s="121"/>
      <c r="T435" s="114"/>
      <c r="U435" s="12"/>
      <c r="V435" s="12"/>
      <c r="W435" s="19"/>
      <c r="X435" s="111"/>
    </row>
    <row r="436" spans="1:24" ht="12.75" hidden="1" outlineLevel="1">
      <c r="A436" s="60"/>
      <c r="B436" s="61">
        <f t="shared" si="39"/>
        <v>2</v>
      </c>
      <c r="C436" s="62">
        <f t="shared" si="37"/>
        <v>0.9</v>
      </c>
      <c r="D436" s="63">
        <f t="shared" si="38"/>
        <v>1.8</v>
      </c>
      <c r="E436" s="98"/>
      <c r="F436" s="33"/>
      <c r="G436" s="42"/>
      <c r="H436" s="43"/>
      <c r="I436" s="43"/>
      <c r="J436" s="36"/>
      <c r="K436" s="37"/>
      <c r="L436" s="31"/>
      <c r="M436" s="72"/>
      <c r="N436" s="73"/>
      <c r="O436" s="74"/>
      <c r="P436" s="75"/>
      <c r="Q436" s="76"/>
      <c r="S436" s="121"/>
      <c r="T436" s="114"/>
      <c r="U436" s="12"/>
      <c r="V436" s="12"/>
      <c r="W436" s="19"/>
      <c r="X436" s="111"/>
    </row>
    <row r="437" spans="1:24" ht="12.75" hidden="1" outlineLevel="1">
      <c r="A437" s="60"/>
      <c r="B437" s="61">
        <v>4</v>
      </c>
      <c r="C437" s="62">
        <f t="shared" si="37"/>
        <v>1.2</v>
      </c>
      <c r="D437" s="63">
        <f t="shared" si="38"/>
        <v>4.8</v>
      </c>
      <c r="E437" s="98"/>
      <c r="F437" s="33"/>
      <c r="G437" s="42"/>
      <c r="H437" s="43"/>
      <c r="I437" s="43"/>
      <c r="J437" s="36"/>
      <c r="K437" s="37"/>
      <c r="L437" s="31"/>
      <c r="M437" s="72"/>
      <c r="N437" s="73"/>
      <c r="O437" s="74"/>
      <c r="P437" s="75"/>
      <c r="Q437" s="76"/>
      <c r="S437" s="121"/>
      <c r="T437" s="114"/>
      <c r="U437" s="12"/>
      <c r="V437" s="12"/>
      <c r="W437" s="19"/>
      <c r="X437" s="111"/>
    </row>
    <row r="438" spans="1:24" ht="12.75" hidden="1" outlineLevel="1">
      <c r="A438" s="60"/>
      <c r="B438" s="61">
        <f t="shared" si="39"/>
        <v>1</v>
      </c>
      <c r="C438" s="62">
        <f t="shared" si="37"/>
        <v>0.9</v>
      </c>
      <c r="D438" s="63">
        <f t="shared" si="38"/>
        <v>0.9</v>
      </c>
      <c r="E438" s="98"/>
      <c r="F438" s="33"/>
      <c r="G438" s="42"/>
      <c r="H438" s="43"/>
      <c r="I438" s="43"/>
      <c r="J438" s="36"/>
      <c r="K438" s="37"/>
      <c r="L438" s="31"/>
      <c r="M438" s="72"/>
      <c r="N438" s="73"/>
      <c r="O438" s="74"/>
      <c r="P438" s="75"/>
      <c r="Q438" s="76"/>
      <c r="S438" s="121"/>
      <c r="T438" s="114"/>
      <c r="U438" s="12"/>
      <c r="V438" s="12"/>
      <c r="W438" s="19"/>
      <c r="X438" s="111"/>
    </row>
    <row r="439" spans="1:24" ht="12.75" hidden="1" outlineLevel="1">
      <c r="A439" s="60"/>
      <c r="B439" s="61">
        <v>2</v>
      </c>
      <c r="C439" s="62">
        <f>+C376</f>
        <v>1.5</v>
      </c>
      <c r="D439" s="63">
        <f t="shared" si="38"/>
        <v>3</v>
      </c>
      <c r="E439" s="98"/>
      <c r="F439" s="33"/>
      <c r="G439" s="42"/>
      <c r="H439" s="43"/>
      <c r="I439" s="43"/>
      <c r="J439" s="36"/>
      <c r="K439" s="37"/>
      <c r="L439" s="31"/>
      <c r="M439" s="72"/>
      <c r="N439" s="73"/>
      <c r="O439" s="74"/>
      <c r="P439" s="75"/>
      <c r="Q439" s="76"/>
      <c r="S439" s="121"/>
      <c r="T439" s="114"/>
      <c r="U439" s="12"/>
      <c r="V439" s="12"/>
      <c r="W439" s="19"/>
      <c r="X439" s="111"/>
    </row>
    <row r="440" spans="1:24" ht="12.75" hidden="1" outlineLevel="1">
      <c r="A440" s="60"/>
      <c r="B440" s="61">
        <f t="shared" si="39"/>
        <v>2</v>
      </c>
      <c r="C440" s="62">
        <f t="shared" si="37"/>
        <v>1</v>
      </c>
      <c r="D440" s="63">
        <f t="shared" si="38"/>
        <v>2</v>
      </c>
      <c r="E440" s="98"/>
      <c r="F440" s="33"/>
      <c r="G440" s="42"/>
      <c r="H440" s="43"/>
      <c r="I440" s="43"/>
      <c r="J440" s="36"/>
      <c r="K440" s="37"/>
      <c r="L440" s="31"/>
      <c r="M440" s="72"/>
      <c r="N440" s="73"/>
      <c r="O440" s="74"/>
      <c r="P440" s="75"/>
      <c r="Q440" s="76"/>
      <c r="S440" s="121"/>
      <c r="T440" s="114"/>
      <c r="U440" s="12"/>
      <c r="V440" s="12"/>
      <c r="W440" s="19"/>
      <c r="X440" s="111"/>
    </row>
    <row r="441" spans="1:24" ht="12.75" hidden="1" outlineLevel="1">
      <c r="A441" s="60"/>
      <c r="B441" s="61">
        <v>4</v>
      </c>
      <c r="C441" s="62">
        <f t="shared" si="37"/>
        <v>2.4</v>
      </c>
      <c r="D441" s="63">
        <f t="shared" si="38"/>
        <v>9.6</v>
      </c>
      <c r="E441" s="98"/>
      <c r="F441" s="33"/>
      <c r="G441" s="42"/>
      <c r="H441" s="43"/>
      <c r="I441" s="43"/>
      <c r="J441" s="36"/>
      <c r="K441" s="37"/>
      <c r="L441" s="31"/>
      <c r="M441" s="72"/>
      <c r="N441" s="73"/>
      <c r="O441" s="74"/>
      <c r="P441" s="75"/>
      <c r="Q441" s="76"/>
      <c r="S441" s="121"/>
      <c r="T441" s="114"/>
      <c r="U441" s="12"/>
      <c r="V441" s="12"/>
      <c r="W441" s="19"/>
      <c r="X441" s="111"/>
    </row>
    <row r="442" spans="1:24" ht="12.75" hidden="1" outlineLevel="1">
      <c r="A442" s="60">
        <v>3</v>
      </c>
      <c r="B442" s="61">
        <v>2</v>
      </c>
      <c r="C442" s="156">
        <v>2.3</v>
      </c>
      <c r="D442" s="63">
        <f>+C442*B442*A442</f>
        <v>13.799999999999999</v>
      </c>
      <c r="E442" s="44"/>
      <c r="F442" s="33"/>
      <c r="G442" s="42"/>
      <c r="H442" s="43"/>
      <c r="I442" s="43"/>
      <c r="J442" s="36"/>
      <c r="K442" s="37"/>
      <c r="L442" s="31"/>
      <c r="M442" s="72"/>
      <c r="N442" s="73"/>
      <c r="O442" s="74"/>
      <c r="P442" s="75"/>
      <c r="Q442" s="76"/>
      <c r="S442" s="121"/>
      <c r="T442" s="114"/>
      <c r="U442" s="12"/>
      <c r="V442" s="12"/>
      <c r="W442" s="19"/>
      <c r="X442" s="111"/>
    </row>
    <row r="443" spans="1:24" ht="12.75" hidden="1" outlineLevel="1">
      <c r="A443" s="60"/>
      <c r="B443" s="61">
        <v>3</v>
      </c>
      <c r="C443" s="156">
        <v>1</v>
      </c>
      <c r="D443" s="63">
        <f>+C443*B443</f>
        <v>3</v>
      </c>
      <c r="E443" s="44"/>
      <c r="F443" s="33"/>
      <c r="G443" s="42"/>
      <c r="H443" s="43"/>
      <c r="I443" s="43"/>
      <c r="J443" s="36"/>
      <c r="K443" s="37"/>
      <c r="L443" s="31"/>
      <c r="M443" s="72"/>
      <c r="N443" s="73"/>
      <c r="O443" s="74"/>
      <c r="P443" s="75"/>
      <c r="Q443" s="76"/>
      <c r="S443" s="121"/>
      <c r="T443" s="114"/>
      <c r="U443" s="12"/>
      <c r="V443" s="12"/>
      <c r="W443" s="19"/>
      <c r="X443" s="111"/>
    </row>
    <row r="444" spans="1:24" ht="12.75" hidden="1" outlineLevel="1">
      <c r="A444" s="60"/>
      <c r="B444" s="61"/>
      <c r="C444" s="62"/>
      <c r="D444" s="65"/>
      <c r="E444" s="98"/>
      <c r="F444" s="33"/>
      <c r="G444" s="42"/>
      <c r="H444" s="43"/>
      <c r="I444" s="43"/>
      <c r="J444" s="36"/>
      <c r="K444" s="37"/>
      <c r="L444" s="31"/>
      <c r="M444" s="72"/>
      <c r="N444" s="73"/>
      <c r="O444" s="74"/>
      <c r="P444" s="75"/>
      <c r="Q444" s="76"/>
      <c r="S444" s="121"/>
      <c r="T444" s="114"/>
      <c r="U444" s="12"/>
      <c r="V444" s="12"/>
      <c r="W444" s="19"/>
      <c r="X444" s="111"/>
    </row>
    <row r="445" spans="1:24" ht="12.75" hidden="1" outlineLevel="1">
      <c r="A445" s="60"/>
      <c r="B445" s="61"/>
      <c r="C445" s="62"/>
      <c r="D445" s="63">
        <f>SUM(D424:D444)</f>
        <v>100.85</v>
      </c>
      <c r="E445" s="98"/>
      <c r="F445" s="33"/>
      <c r="G445" s="42"/>
      <c r="H445" s="43"/>
      <c r="I445" s="43"/>
      <c r="J445" s="36"/>
      <c r="K445" s="37"/>
      <c r="L445" s="31"/>
      <c r="M445" s="72"/>
      <c r="N445" s="73"/>
      <c r="O445" s="74"/>
      <c r="P445" s="75"/>
      <c r="Q445" s="76"/>
      <c r="S445" s="121"/>
      <c r="T445" s="114"/>
      <c r="U445" s="12"/>
      <c r="V445" s="12"/>
      <c r="W445" s="19"/>
      <c r="X445" s="111"/>
    </row>
    <row r="446" spans="1:24" ht="12.75" hidden="1" outlineLevel="1">
      <c r="A446" s="60"/>
      <c r="B446" s="61" t="s">
        <v>337</v>
      </c>
      <c r="C446" s="62">
        <v>0.15</v>
      </c>
      <c r="D446" s="65">
        <f>+D445*C446</f>
        <v>15.127499999999998</v>
      </c>
      <c r="E446" s="98"/>
      <c r="F446" s="33"/>
      <c r="G446" s="42"/>
      <c r="H446" s="43"/>
      <c r="I446" s="43"/>
      <c r="J446" s="36"/>
      <c r="K446" s="37"/>
      <c r="L446" s="31"/>
      <c r="M446" s="72"/>
      <c r="N446" s="73"/>
      <c r="O446" s="74"/>
      <c r="P446" s="75"/>
      <c r="Q446" s="76"/>
      <c r="S446" s="121"/>
      <c r="T446" s="114"/>
      <c r="U446" s="12"/>
      <c r="V446" s="12"/>
      <c r="W446" s="19"/>
      <c r="X446" s="111"/>
    </row>
    <row r="447" spans="1:24" ht="12.75" hidden="1" outlineLevel="1">
      <c r="A447" s="60"/>
      <c r="B447" s="61"/>
      <c r="C447" s="62"/>
      <c r="D447" s="65"/>
      <c r="E447" s="98"/>
      <c r="F447" s="33"/>
      <c r="G447" s="42"/>
      <c r="H447" s="43"/>
      <c r="I447" s="43"/>
      <c r="J447" s="36"/>
      <c r="K447" s="37"/>
      <c r="L447" s="31"/>
      <c r="M447" s="72"/>
      <c r="N447" s="73"/>
      <c r="O447" s="74"/>
      <c r="P447" s="75"/>
      <c r="Q447" s="76"/>
      <c r="S447" s="121"/>
      <c r="T447" s="114"/>
      <c r="U447" s="12"/>
      <c r="V447" s="12"/>
      <c r="W447" s="19"/>
      <c r="X447" s="111"/>
    </row>
    <row r="448" spans="1:24" ht="12.75" hidden="1" outlineLevel="1">
      <c r="A448" s="60"/>
      <c r="B448" s="61"/>
      <c r="C448" s="62"/>
      <c r="D448" s="65"/>
      <c r="E448" s="98" t="s">
        <v>201</v>
      </c>
      <c r="F448" s="33">
        <f>+F423</f>
        <v>15</v>
      </c>
      <c r="G448" s="42" t="s">
        <v>35</v>
      </c>
      <c r="H448" s="43"/>
      <c r="I448" s="43"/>
      <c r="J448" s="36">
        <f>+J409</f>
        <v>0.5</v>
      </c>
      <c r="K448" s="37">
        <f t="shared" si="35"/>
        <v>7.5</v>
      </c>
      <c r="L448" s="31"/>
      <c r="M448" s="72"/>
      <c r="N448" s="73"/>
      <c r="O448" s="74"/>
      <c r="P448" s="75">
        <f aca="true" t="shared" si="40" ref="P448:P460">+IF(M448="item",O448,IF(M448&lt;&gt;0,M448*O448,""))</f>
      </c>
      <c r="Q448" s="76"/>
      <c r="S448" s="121"/>
      <c r="T448" s="114"/>
      <c r="U448" s="12"/>
      <c r="V448" s="12"/>
      <c r="W448" s="19"/>
      <c r="X448" s="111"/>
    </row>
    <row r="449" spans="1:24" ht="12.75" hidden="1" outlineLevel="1">
      <c r="A449" s="60"/>
      <c r="B449" s="61"/>
      <c r="C449" s="62"/>
      <c r="D449" s="65"/>
      <c r="E449" s="52"/>
      <c r="F449" s="33"/>
      <c r="G449" s="42"/>
      <c r="H449" s="43"/>
      <c r="I449" s="43"/>
      <c r="J449" s="36"/>
      <c r="K449" s="37">
        <f t="shared" si="35"/>
      </c>
      <c r="L449" s="31"/>
      <c r="M449" s="72"/>
      <c r="N449" s="73"/>
      <c r="O449" s="74"/>
      <c r="P449" s="75">
        <f t="shared" si="40"/>
      </c>
      <c r="Q449" s="76"/>
      <c r="S449" s="110"/>
      <c r="T449" s="12"/>
      <c r="U449" s="12"/>
      <c r="V449" s="12"/>
      <c r="W449" s="19"/>
      <c r="X449" s="111"/>
    </row>
    <row r="450" spans="1:24" ht="12.75" hidden="1" outlineLevel="1">
      <c r="A450" s="60"/>
      <c r="B450" s="61"/>
      <c r="C450" s="62"/>
      <c r="D450" s="65"/>
      <c r="E450" s="98" t="s">
        <v>177</v>
      </c>
      <c r="F450" s="33">
        <f>+F448</f>
        <v>15</v>
      </c>
      <c r="G450" s="42" t="s">
        <v>35</v>
      </c>
      <c r="H450" s="43">
        <v>0.15</v>
      </c>
      <c r="I450" s="43">
        <f>+iqadhesive</f>
        <v>9.450000000000001</v>
      </c>
      <c r="J450" s="36">
        <f>IF(+I450+H450&gt;0,I450+(H450*labour),"")</f>
        <v>13.950000000000001</v>
      </c>
      <c r="K450" s="37">
        <f t="shared" si="35"/>
        <v>209.25000000000003</v>
      </c>
      <c r="L450" s="31"/>
      <c r="M450" s="72"/>
      <c r="N450" s="73"/>
      <c r="O450" s="74"/>
      <c r="P450" s="75">
        <f t="shared" si="40"/>
      </c>
      <c r="Q450" s="76"/>
      <c r="S450" s="121"/>
      <c r="T450" s="114"/>
      <c r="U450" s="12"/>
      <c r="V450" s="12"/>
      <c r="W450" s="19"/>
      <c r="X450" s="111"/>
    </row>
    <row r="451" spans="1:24" ht="12.75" hidden="1" outlineLevel="1">
      <c r="A451" s="60"/>
      <c r="B451" s="61"/>
      <c r="C451" s="62"/>
      <c r="D451" s="65"/>
      <c r="E451" s="98"/>
      <c r="F451" s="33"/>
      <c r="G451" s="42"/>
      <c r="H451" s="43"/>
      <c r="I451" s="43"/>
      <c r="J451" s="36">
        <f>IF(+I451+H451&gt;0,I451+(H451*labour),"")</f>
      </c>
      <c r="K451" s="37">
        <f t="shared" si="35"/>
      </c>
      <c r="L451" s="31"/>
      <c r="M451" s="72"/>
      <c r="N451" s="73"/>
      <c r="O451" s="74"/>
      <c r="P451" s="75">
        <f t="shared" si="40"/>
      </c>
      <c r="Q451" s="76"/>
      <c r="S451" s="110"/>
      <c r="T451" s="12"/>
      <c r="U451" s="12"/>
      <c r="V451" s="12"/>
      <c r="W451" s="19"/>
      <c r="X451" s="111"/>
    </row>
    <row r="452" spans="1:24" ht="12.75" hidden="1" outlineLevel="1">
      <c r="A452" s="60"/>
      <c r="B452" s="61"/>
      <c r="C452" s="62"/>
      <c r="D452" s="65"/>
      <c r="E452" s="98" t="s">
        <v>225</v>
      </c>
      <c r="F452" s="33">
        <f>+F450</f>
        <v>15</v>
      </c>
      <c r="G452" s="42" t="s">
        <v>35</v>
      </c>
      <c r="H452" s="43">
        <v>0.25</v>
      </c>
      <c r="I452" s="43">
        <f>iqreveal</f>
        <v>26.180555555555557</v>
      </c>
      <c r="J452" s="36">
        <f>IF(+I452+H452&gt;0,I452+(H452*labour),"")</f>
        <v>33.68055555555556</v>
      </c>
      <c r="K452" s="37">
        <f t="shared" si="35"/>
        <v>505.20833333333337</v>
      </c>
      <c r="L452" s="31"/>
      <c r="M452" s="72"/>
      <c r="N452" s="73"/>
      <c r="O452" s="74"/>
      <c r="P452" s="75">
        <f t="shared" si="40"/>
      </c>
      <c r="Q452" s="76"/>
      <c r="S452" s="121"/>
      <c r="T452" s="114"/>
      <c r="U452" s="12"/>
      <c r="V452" s="12"/>
      <c r="W452" s="19"/>
      <c r="X452" s="111"/>
    </row>
    <row r="453" spans="1:24" ht="12.75" hidden="1" outlineLevel="1">
      <c r="A453" s="60"/>
      <c r="B453" s="61"/>
      <c r="C453" s="62"/>
      <c r="D453" s="65"/>
      <c r="E453" s="98"/>
      <c r="F453" s="33"/>
      <c r="G453" s="42"/>
      <c r="H453" s="43"/>
      <c r="I453" s="43"/>
      <c r="J453" s="36">
        <f>IF(+I453+H453&gt;0,I453+(H453*labour),"")</f>
      </c>
      <c r="K453" s="37">
        <f t="shared" si="35"/>
      </c>
      <c r="L453" s="31"/>
      <c r="M453" s="72"/>
      <c r="N453" s="73"/>
      <c r="O453" s="74"/>
      <c r="P453" s="75">
        <f t="shared" si="40"/>
      </c>
      <c r="Q453" s="76"/>
      <c r="S453" s="110"/>
      <c r="T453" s="12"/>
      <c r="U453" s="12"/>
      <c r="V453" s="12"/>
      <c r="W453" s="19"/>
      <c r="X453" s="111"/>
    </row>
    <row r="454" spans="1:24" ht="12.75" hidden="1" outlineLevel="1">
      <c r="A454" s="60"/>
      <c r="B454" s="61"/>
      <c r="C454" s="62"/>
      <c r="D454" s="65"/>
      <c r="E454" s="98" t="s">
        <v>217</v>
      </c>
      <c r="F454" s="33">
        <f>+F423</f>
        <v>15</v>
      </c>
      <c r="G454" s="42" t="s">
        <v>35</v>
      </c>
      <c r="H454" s="43">
        <v>1</v>
      </c>
      <c r="I454" s="43">
        <f>iqtop</f>
        <v>20.3</v>
      </c>
      <c r="J454" s="36">
        <f>IF(+I454+H454&gt;0,I454+(H454*labour),"")</f>
        <v>50.3</v>
      </c>
      <c r="K454" s="37">
        <f t="shared" si="35"/>
        <v>754.5</v>
      </c>
      <c r="L454" s="31"/>
      <c r="M454" s="72"/>
      <c r="N454" s="73"/>
      <c r="O454" s="74"/>
      <c r="P454" s="75">
        <f t="shared" si="40"/>
      </c>
      <c r="Q454" s="76"/>
      <c r="S454" s="121"/>
      <c r="T454" s="114"/>
      <c r="U454" s="12"/>
      <c r="V454" s="12"/>
      <c r="W454" s="19"/>
      <c r="X454" s="111"/>
    </row>
    <row r="455" spans="1:24" ht="12.75" hidden="1" outlineLevel="1">
      <c r="A455" s="60"/>
      <c r="B455" s="61"/>
      <c r="C455" s="62"/>
      <c r="D455" s="65"/>
      <c r="E455" s="98"/>
      <c r="F455" s="33"/>
      <c r="G455" s="42"/>
      <c r="H455" s="43"/>
      <c r="I455" s="43"/>
      <c r="J455" s="36"/>
      <c r="K455" s="37">
        <f t="shared" si="35"/>
      </c>
      <c r="L455" s="31"/>
      <c r="M455" s="72"/>
      <c r="N455" s="73"/>
      <c r="O455" s="74"/>
      <c r="P455" s="75">
        <f t="shared" si="40"/>
      </c>
      <c r="Q455" s="76"/>
      <c r="S455" s="110"/>
      <c r="T455" s="12"/>
      <c r="U455" s="12"/>
      <c r="V455" s="12"/>
      <c r="W455" s="19"/>
      <c r="X455" s="111"/>
    </row>
    <row r="456" spans="1:24" ht="12.75" hidden="1" outlineLevel="1">
      <c r="A456" s="60"/>
      <c r="B456" s="61"/>
      <c r="C456" s="62"/>
      <c r="D456" s="65"/>
      <c r="E456" s="98" t="s">
        <v>178</v>
      </c>
      <c r="F456" s="33">
        <f>+F423</f>
        <v>15</v>
      </c>
      <c r="G456" s="42" t="s">
        <v>35</v>
      </c>
      <c r="H456" s="43">
        <v>0.1</v>
      </c>
      <c r="I456" s="43">
        <f>+iqreinforce</f>
        <v>3.696</v>
      </c>
      <c r="J456" s="36">
        <f>IF(+I456+H456&gt;0,I456+(H456*labour),"")</f>
        <v>6.696</v>
      </c>
      <c r="K456" s="37">
        <f t="shared" si="35"/>
        <v>100.44</v>
      </c>
      <c r="L456" s="31"/>
      <c r="M456" s="72"/>
      <c r="N456" s="73"/>
      <c r="O456" s="74"/>
      <c r="P456" s="75">
        <f t="shared" si="40"/>
      </c>
      <c r="Q456" s="76"/>
      <c r="S456" s="121"/>
      <c r="T456" s="114"/>
      <c r="U456" s="12"/>
      <c r="V456" s="12"/>
      <c r="W456" s="19"/>
      <c r="X456" s="111"/>
    </row>
    <row r="457" spans="1:24" ht="12.75" hidden="1" outlineLevel="1">
      <c r="A457" s="60"/>
      <c r="B457" s="61"/>
      <c r="C457" s="62"/>
      <c r="D457" s="65"/>
      <c r="E457" s="98"/>
      <c r="F457" s="33"/>
      <c r="G457" s="42"/>
      <c r="H457" s="43"/>
      <c r="I457" s="43"/>
      <c r="J457" s="36"/>
      <c r="K457" s="37">
        <f t="shared" si="35"/>
      </c>
      <c r="L457" s="31"/>
      <c r="M457" s="72"/>
      <c r="N457" s="73"/>
      <c r="O457" s="74"/>
      <c r="P457" s="75">
        <f t="shared" si="40"/>
      </c>
      <c r="Q457" s="76"/>
      <c r="S457" s="110"/>
      <c r="T457" s="12"/>
      <c r="U457" s="12"/>
      <c r="V457" s="12"/>
      <c r="W457" s="19"/>
      <c r="X457" s="111"/>
    </row>
    <row r="458" spans="1:24" ht="12.75" hidden="1" outlineLevel="1">
      <c r="A458" s="60"/>
      <c r="B458" s="61"/>
      <c r="C458" s="62"/>
      <c r="D458" s="65"/>
      <c r="E458" s="98" t="s">
        <v>179</v>
      </c>
      <c r="F458" s="33">
        <f>+F423</f>
        <v>15</v>
      </c>
      <c r="G458" s="42" t="s">
        <v>35</v>
      </c>
      <c r="H458" s="43">
        <v>0.25</v>
      </c>
      <c r="I458" s="43">
        <f>+iqfinish</f>
        <v>5.6000000000000005</v>
      </c>
      <c r="J458" s="36">
        <f>IF(+I458+H458&gt;0,I458+(H458*labour),"")</f>
        <v>13.100000000000001</v>
      </c>
      <c r="K458" s="37">
        <f t="shared" si="35"/>
        <v>196.50000000000003</v>
      </c>
      <c r="L458" s="31"/>
      <c r="M458" s="72"/>
      <c r="N458" s="73"/>
      <c r="O458" s="74"/>
      <c r="P458" s="75">
        <f t="shared" si="40"/>
      </c>
      <c r="Q458" s="76"/>
      <c r="S458" s="121"/>
      <c r="T458" s="114"/>
      <c r="U458" s="12"/>
      <c r="V458" s="12"/>
      <c r="W458" s="19"/>
      <c r="X458" s="111"/>
    </row>
    <row r="459" spans="1:24" ht="12.75" hidden="1" outlineLevel="1">
      <c r="A459" s="60"/>
      <c r="B459" s="61"/>
      <c r="C459" s="62"/>
      <c r="D459" s="65"/>
      <c r="E459" s="44"/>
      <c r="F459" s="33"/>
      <c r="G459" s="42"/>
      <c r="H459" s="43"/>
      <c r="I459" s="43"/>
      <c r="J459" s="36"/>
      <c r="K459" s="37"/>
      <c r="L459" s="31"/>
      <c r="M459" s="72"/>
      <c r="N459" s="73"/>
      <c r="O459" s="74"/>
      <c r="P459" s="75">
        <f t="shared" si="40"/>
      </c>
      <c r="Q459" s="76"/>
      <c r="S459" s="110"/>
      <c r="T459" s="12"/>
      <c r="U459" s="12"/>
      <c r="V459" s="12"/>
      <c r="W459" s="19"/>
      <c r="X459" s="111"/>
    </row>
    <row r="460" spans="1:24" ht="12.75" hidden="1" outlineLevel="1">
      <c r="A460" s="60"/>
      <c r="B460" s="61"/>
      <c r="C460" s="62"/>
      <c r="D460" s="65"/>
      <c r="E460" s="44" t="s">
        <v>185</v>
      </c>
      <c r="F460" s="33">
        <f>ROUND(D472,0)</f>
        <v>53</v>
      </c>
      <c r="G460" s="42" t="s">
        <v>108</v>
      </c>
      <c r="H460" s="43"/>
      <c r="I460" s="43"/>
      <c r="J460" s="36">
        <v>1.38</v>
      </c>
      <c r="K460" s="37">
        <f aca="true" t="shared" si="41" ref="K460:K496">+IF(F460="item",J460,IF(F460&lt;&gt;0,F460*J460,""))</f>
        <v>73.14</v>
      </c>
      <c r="L460" s="31" t="s">
        <v>188</v>
      </c>
      <c r="M460" s="72"/>
      <c r="N460" s="73"/>
      <c r="O460" s="74"/>
      <c r="P460" s="75">
        <f t="shared" si="40"/>
      </c>
      <c r="Q460" s="76"/>
      <c r="S460" s="121"/>
      <c r="T460" s="114"/>
      <c r="U460" s="12"/>
      <c r="V460" s="12"/>
      <c r="W460" s="19"/>
      <c r="X460" s="111"/>
    </row>
    <row r="461" spans="1:24" ht="12.75" hidden="1" outlineLevel="1">
      <c r="A461" s="60"/>
      <c r="B461" s="61">
        <v>2</v>
      </c>
      <c r="C461" s="135">
        <v>6.8</v>
      </c>
      <c r="D461" s="63">
        <f>+C461*B461</f>
        <v>13.6</v>
      </c>
      <c r="E461" s="44"/>
      <c r="F461" s="33"/>
      <c r="G461" s="42"/>
      <c r="H461" s="43"/>
      <c r="I461" s="43"/>
      <c r="J461" s="36"/>
      <c r="K461" s="37"/>
      <c r="L461" s="31"/>
      <c r="M461" s="72"/>
      <c r="N461" s="73"/>
      <c r="O461" s="74"/>
      <c r="P461" s="75"/>
      <c r="Q461" s="76"/>
      <c r="S461" s="121"/>
      <c r="T461" s="114"/>
      <c r="U461" s="12"/>
      <c r="V461" s="12"/>
      <c r="W461" s="19"/>
      <c r="X461" s="111"/>
    </row>
    <row r="462" spans="1:24" ht="12.75" hidden="1" outlineLevel="1">
      <c r="A462" s="60">
        <v>2</v>
      </c>
      <c r="B462" s="61">
        <v>-1</v>
      </c>
      <c r="C462" s="156">
        <v>2.4</v>
      </c>
      <c r="D462" s="63">
        <f>+C462*B462*A462</f>
        <v>-4.8</v>
      </c>
      <c r="E462" s="44"/>
      <c r="F462" s="33"/>
      <c r="G462" s="42"/>
      <c r="H462" s="43"/>
      <c r="I462" s="43"/>
      <c r="J462" s="36"/>
      <c r="K462" s="37"/>
      <c r="L462" s="31"/>
      <c r="M462" s="72"/>
      <c r="N462" s="73"/>
      <c r="O462" s="74"/>
      <c r="P462" s="75"/>
      <c r="Q462" s="76"/>
      <c r="S462" s="121"/>
      <c r="T462" s="114"/>
      <c r="U462" s="12"/>
      <c r="V462" s="12"/>
      <c r="W462" s="19"/>
      <c r="X462" s="111"/>
    </row>
    <row r="463" spans="1:24" ht="12.75" hidden="1" outlineLevel="1">
      <c r="A463" s="60">
        <v>2</v>
      </c>
      <c r="B463" s="61">
        <v>3</v>
      </c>
      <c r="C463" s="156">
        <v>1</v>
      </c>
      <c r="D463" s="63">
        <f>+C463*B463*A463</f>
        <v>6</v>
      </c>
      <c r="E463" s="44"/>
      <c r="F463" s="33"/>
      <c r="G463" s="42"/>
      <c r="H463" s="43"/>
      <c r="I463" s="43"/>
      <c r="J463" s="36"/>
      <c r="K463" s="37"/>
      <c r="L463" s="31"/>
      <c r="M463" s="72"/>
      <c r="N463" s="73"/>
      <c r="O463" s="74"/>
      <c r="P463" s="75"/>
      <c r="Q463" s="76"/>
      <c r="S463" s="121"/>
      <c r="T463" s="114"/>
      <c r="U463" s="12"/>
      <c r="V463" s="12"/>
      <c r="W463" s="19"/>
      <c r="X463" s="111"/>
    </row>
    <row r="464" spans="1:24" ht="12.75" hidden="1" outlineLevel="1">
      <c r="A464" s="60"/>
      <c r="B464" s="61">
        <v>2</v>
      </c>
      <c r="C464" s="156">
        <v>7</v>
      </c>
      <c r="D464" s="63">
        <f aca="true" t="shared" si="42" ref="D464:D470">+C464*B464</f>
        <v>14</v>
      </c>
      <c r="E464" s="44"/>
      <c r="F464" s="33"/>
      <c r="G464" s="42"/>
      <c r="H464" s="43"/>
      <c r="I464" s="43"/>
      <c r="J464" s="36"/>
      <c r="K464" s="37"/>
      <c r="L464" s="31"/>
      <c r="M464" s="72"/>
      <c r="N464" s="73"/>
      <c r="O464" s="74"/>
      <c r="P464" s="75"/>
      <c r="Q464" s="76"/>
      <c r="S464" s="121"/>
      <c r="T464" s="114"/>
      <c r="U464" s="12"/>
      <c r="V464" s="12"/>
      <c r="W464" s="19"/>
      <c r="X464" s="111"/>
    </row>
    <row r="465" spans="1:24" ht="12.75" hidden="1" outlineLevel="1">
      <c r="A465" s="60"/>
      <c r="B465" s="61">
        <v>2</v>
      </c>
      <c r="C465" s="156">
        <v>1.4</v>
      </c>
      <c r="D465" s="63">
        <f t="shared" si="42"/>
        <v>2.8</v>
      </c>
      <c r="E465" s="44"/>
      <c r="F465" s="33"/>
      <c r="G465" s="42"/>
      <c r="H465" s="43"/>
      <c r="I465" s="43"/>
      <c r="J465" s="36"/>
      <c r="K465" s="37"/>
      <c r="L465" s="31"/>
      <c r="M465" s="72"/>
      <c r="N465" s="73"/>
      <c r="O465" s="74"/>
      <c r="P465" s="75"/>
      <c r="Q465" s="76"/>
      <c r="S465" s="121"/>
      <c r="T465" s="114"/>
      <c r="U465" s="12"/>
      <c r="V465" s="12"/>
      <c r="W465" s="19"/>
      <c r="X465" s="111"/>
    </row>
    <row r="466" spans="1:24" ht="12.75" hidden="1" outlineLevel="1">
      <c r="A466" s="60"/>
      <c r="B466" s="61">
        <v>2</v>
      </c>
      <c r="C466" s="156">
        <v>3.9</v>
      </c>
      <c r="D466" s="63">
        <f t="shared" si="42"/>
        <v>7.8</v>
      </c>
      <c r="E466" s="44"/>
      <c r="F466" s="33"/>
      <c r="G466" s="42"/>
      <c r="H466" s="43"/>
      <c r="I466" s="43"/>
      <c r="J466" s="36"/>
      <c r="K466" s="37"/>
      <c r="L466" s="31"/>
      <c r="M466" s="72"/>
      <c r="N466" s="73"/>
      <c r="O466" s="74"/>
      <c r="P466" s="75"/>
      <c r="Q466" s="76"/>
      <c r="S466" s="121"/>
      <c r="T466" s="114"/>
      <c r="U466" s="12"/>
      <c r="V466" s="12"/>
      <c r="W466" s="19"/>
      <c r="X466" s="111"/>
    </row>
    <row r="467" spans="1:24" ht="12.75" hidden="1" outlineLevel="1">
      <c r="A467" s="60"/>
      <c r="B467" s="61">
        <v>2</v>
      </c>
      <c r="C467" s="156">
        <v>5.6</v>
      </c>
      <c r="D467" s="63">
        <f t="shared" si="42"/>
        <v>11.2</v>
      </c>
      <c r="E467" s="44"/>
      <c r="F467" s="33"/>
      <c r="G467" s="42"/>
      <c r="H467" s="43"/>
      <c r="I467" s="43"/>
      <c r="J467" s="36"/>
      <c r="K467" s="37"/>
      <c r="L467" s="31"/>
      <c r="M467" s="72"/>
      <c r="N467" s="73"/>
      <c r="O467" s="74"/>
      <c r="P467" s="75"/>
      <c r="Q467" s="76"/>
      <c r="S467" s="121"/>
      <c r="T467" s="114"/>
      <c r="U467" s="12"/>
      <c r="V467" s="12"/>
      <c r="W467" s="19"/>
      <c r="X467" s="111"/>
    </row>
    <row r="468" spans="1:24" ht="12.75" hidden="1" outlineLevel="1">
      <c r="A468" s="60"/>
      <c r="B468" s="61">
        <v>-1</v>
      </c>
      <c r="C468" s="156">
        <v>2.4</v>
      </c>
      <c r="D468" s="63">
        <f t="shared" si="42"/>
        <v>-2.4</v>
      </c>
      <c r="E468" s="44"/>
      <c r="F468" s="33"/>
      <c r="G468" s="42"/>
      <c r="H468" s="43"/>
      <c r="I468" s="43"/>
      <c r="J468" s="36"/>
      <c r="K468" s="37"/>
      <c r="L468" s="31"/>
      <c r="M468" s="72"/>
      <c r="N468" s="73"/>
      <c r="O468" s="74"/>
      <c r="P468" s="75"/>
      <c r="Q468" s="76"/>
      <c r="S468" s="121"/>
      <c r="T468" s="114"/>
      <c r="U468" s="12"/>
      <c r="V468" s="12"/>
      <c r="W468" s="19"/>
      <c r="X468" s="111"/>
    </row>
    <row r="469" spans="1:24" ht="12.75" hidden="1" outlineLevel="1">
      <c r="A469" s="60"/>
      <c r="B469" s="61">
        <v>3</v>
      </c>
      <c r="C469" s="156">
        <v>1</v>
      </c>
      <c r="D469" s="63">
        <f t="shared" si="42"/>
        <v>3</v>
      </c>
      <c r="E469" s="44"/>
      <c r="F469" s="33"/>
      <c r="G469" s="42"/>
      <c r="H469" s="43"/>
      <c r="I469" s="43"/>
      <c r="J469" s="36"/>
      <c r="K469" s="37"/>
      <c r="L469" s="31"/>
      <c r="M469" s="72"/>
      <c r="N469" s="73"/>
      <c r="O469" s="74"/>
      <c r="P469" s="75"/>
      <c r="Q469" s="76"/>
      <c r="S469" s="121"/>
      <c r="T469" s="114"/>
      <c r="U469" s="12"/>
      <c r="V469" s="12"/>
      <c r="W469" s="19"/>
      <c r="X469" s="111"/>
    </row>
    <row r="470" spans="1:24" ht="12.75" hidden="1" outlineLevel="1">
      <c r="A470" s="60"/>
      <c r="B470" s="61">
        <v>2</v>
      </c>
      <c r="C470" s="156">
        <v>0.8</v>
      </c>
      <c r="D470" s="63">
        <f t="shared" si="42"/>
        <v>1.6</v>
      </c>
      <c r="E470" s="44"/>
      <c r="F470" s="33"/>
      <c r="G470" s="42"/>
      <c r="H470" s="43"/>
      <c r="I470" s="43"/>
      <c r="J470" s="36"/>
      <c r="K470" s="37"/>
      <c r="L470" s="31"/>
      <c r="M470" s="72"/>
      <c r="N470" s="73"/>
      <c r="O470" s="74"/>
      <c r="P470" s="75"/>
      <c r="Q470" s="76"/>
      <c r="S470" s="121"/>
      <c r="T470" s="114"/>
      <c r="U470" s="12"/>
      <c r="V470" s="12"/>
      <c r="W470" s="19"/>
      <c r="X470" s="111"/>
    </row>
    <row r="471" spans="1:24" ht="12.75" hidden="1" outlineLevel="1">
      <c r="A471" s="60"/>
      <c r="B471" s="61"/>
      <c r="C471" s="62"/>
      <c r="D471" s="65"/>
      <c r="E471" s="44"/>
      <c r="F471" s="33"/>
      <c r="G471" s="42"/>
      <c r="H471" s="43"/>
      <c r="I471" s="43"/>
      <c r="J471" s="36"/>
      <c r="K471" s="37"/>
      <c r="L471" s="31"/>
      <c r="M471" s="72"/>
      <c r="N471" s="73"/>
      <c r="O471" s="74"/>
      <c r="P471" s="75"/>
      <c r="Q471" s="76"/>
      <c r="S471" s="121"/>
      <c r="T471" s="114"/>
      <c r="U471" s="12"/>
      <c r="V471" s="12"/>
      <c r="W471" s="19"/>
      <c r="X471" s="111"/>
    </row>
    <row r="472" spans="1:24" ht="12.75" hidden="1" outlineLevel="1">
      <c r="A472" s="60"/>
      <c r="B472" s="61"/>
      <c r="C472" s="62"/>
      <c r="D472" s="65">
        <f>SUM(D461:D471)</f>
        <v>52.8</v>
      </c>
      <c r="E472" s="44"/>
      <c r="F472" s="33"/>
      <c r="G472" s="42"/>
      <c r="H472" s="43"/>
      <c r="I472" s="43"/>
      <c r="J472" s="36"/>
      <c r="K472" s="37"/>
      <c r="L472" s="31"/>
      <c r="M472" s="72"/>
      <c r="N472" s="73"/>
      <c r="O472" s="74"/>
      <c r="P472" s="75"/>
      <c r="Q472" s="76"/>
      <c r="S472" s="121"/>
      <c r="T472" s="114"/>
      <c r="U472" s="12"/>
      <c r="V472" s="12"/>
      <c r="W472" s="19"/>
      <c r="X472" s="111"/>
    </row>
    <row r="473" spans="1:24" ht="12.75" hidden="1" outlineLevel="1">
      <c r="A473" s="60"/>
      <c r="B473" s="61"/>
      <c r="C473" s="62"/>
      <c r="D473" s="65"/>
      <c r="E473" s="44"/>
      <c r="F473" s="33"/>
      <c r="G473" s="42"/>
      <c r="H473" s="43"/>
      <c r="I473" s="43"/>
      <c r="J473" s="36"/>
      <c r="K473" s="37"/>
      <c r="L473" s="31"/>
      <c r="M473" s="72"/>
      <c r="N473" s="73"/>
      <c r="O473" s="74"/>
      <c r="P473" s="75"/>
      <c r="Q473" s="76"/>
      <c r="S473" s="121"/>
      <c r="T473" s="114"/>
      <c r="U473" s="12"/>
      <c r="V473" s="12"/>
      <c r="W473" s="19"/>
      <c r="X473" s="111"/>
    </row>
    <row r="474" spans="1:24" ht="12.75" hidden="1" outlineLevel="1">
      <c r="A474" s="60"/>
      <c r="B474" s="61"/>
      <c r="C474" s="62"/>
      <c r="D474" s="65"/>
      <c r="E474" s="44"/>
      <c r="F474" s="33"/>
      <c r="G474" s="42"/>
      <c r="H474" s="43"/>
      <c r="I474" s="43"/>
      <c r="J474" s="36"/>
      <c r="K474" s="37">
        <f t="shared" si="41"/>
      </c>
      <c r="L474" s="31"/>
      <c r="M474" s="72"/>
      <c r="N474" s="73"/>
      <c r="O474" s="74"/>
      <c r="P474" s="75">
        <f aca="true" t="shared" si="43" ref="P474:P484">+IF(M474="item",O474,IF(M474&lt;&gt;0,M474*O474,""))</f>
      </c>
      <c r="Q474" s="76"/>
      <c r="S474" s="110"/>
      <c r="T474" s="12"/>
      <c r="U474" s="12"/>
      <c r="V474" s="12"/>
      <c r="W474" s="19"/>
      <c r="X474" s="111"/>
    </row>
    <row r="475" spans="1:24" ht="12.75" hidden="1" outlineLevel="1">
      <c r="A475" s="60"/>
      <c r="B475" s="61"/>
      <c r="C475" s="62"/>
      <c r="D475" s="65"/>
      <c r="E475" s="44" t="s">
        <v>186</v>
      </c>
      <c r="F475" s="33">
        <f>+F460</f>
        <v>53</v>
      </c>
      <c r="G475" s="42" t="s">
        <v>108</v>
      </c>
      <c r="H475" s="43"/>
      <c r="I475" s="43"/>
      <c r="J475" s="36">
        <v>3.29</v>
      </c>
      <c r="K475" s="37">
        <f t="shared" si="41"/>
        <v>174.37</v>
      </c>
      <c r="L475" s="31" t="s">
        <v>187</v>
      </c>
      <c r="M475" s="72"/>
      <c r="N475" s="73"/>
      <c r="O475" s="74"/>
      <c r="P475" s="75">
        <f t="shared" si="43"/>
      </c>
      <c r="Q475" s="76"/>
      <c r="S475" s="121"/>
      <c r="T475" s="114"/>
      <c r="U475" s="12"/>
      <c r="V475" s="12"/>
      <c r="W475" s="19"/>
      <c r="X475" s="111"/>
    </row>
    <row r="476" spans="1:24" ht="12.75" hidden="1" outlineLevel="1">
      <c r="A476" s="60"/>
      <c r="B476" s="61"/>
      <c r="C476" s="62"/>
      <c r="D476" s="65"/>
      <c r="E476" s="44"/>
      <c r="F476" s="33"/>
      <c r="G476" s="42"/>
      <c r="H476" s="43"/>
      <c r="I476" s="43"/>
      <c r="J476" s="36"/>
      <c r="K476" s="37">
        <f t="shared" si="41"/>
      </c>
      <c r="L476" s="31"/>
      <c r="M476" s="72"/>
      <c r="N476" s="73"/>
      <c r="O476" s="74"/>
      <c r="P476" s="75">
        <f t="shared" si="43"/>
      </c>
      <c r="Q476" s="76"/>
      <c r="S476" s="110"/>
      <c r="T476" s="12"/>
      <c r="U476" s="12"/>
      <c r="V476" s="12"/>
      <c r="W476" s="19"/>
      <c r="X476" s="111"/>
    </row>
    <row r="477" spans="1:24" ht="12.75" hidden="1" outlineLevel="1">
      <c r="A477" s="60"/>
      <c r="B477" s="61"/>
      <c r="C477" s="62"/>
      <c r="D477" s="65"/>
      <c r="E477" s="44" t="s">
        <v>189</v>
      </c>
      <c r="F477" s="33" t="s">
        <v>1</v>
      </c>
      <c r="G477" s="42"/>
      <c r="H477" s="43">
        <v>2</v>
      </c>
      <c r="I477" s="43">
        <v>50</v>
      </c>
      <c r="J477" s="36">
        <f>IF(+I477+H477&gt;0,I477+(H477*labour),"")</f>
        <v>110</v>
      </c>
      <c r="K477" s="37">
        <f t="shared" si="41"/>
        <v>110</v>
      </c>
      <c r="L477" s="31"/>
      <c r="M477" s="72"/>
      <c r="N477" s="73"/>
      <c r="O477" s="74"/>
      <c r="P477" s="75">
        <f t="shared" si="43"/>
      </c>
      <c r="Q477" s="76"/>
      <c r="S477" s="121"/>
      <c r="T477" s="114"/>
      <c r="U477" s="12"/>
      <c r="V477" s="12"/>
      <c r="W477" s="19"/>
      <c r="X477" s="111"/>
    </row>
    <row r="478" spans="1:24" ht="12.75" hidden="1" outlineLevel="1">
      <c r="A478" s="60"/>
      <c r="B478" s="61"/>
      <c r="C478" s="62"/>
      <c r="D478" s="65"/>
      <c r="E478" s="44"/>
      <c r="F478" s="33"/>
      <c r="G478" s="42"/>
      <c r="H478" s="43"/>
      <c r="I478" s="43"/>
      <c r="J478" s="36">
        <f>IF(+I478+H478&gt;0,I478+(H478*labour),"")</f>
      </c>
      <c r="K478" s="37">
        <f t="shared" si="41"/>
      </c>
      <c r="L478" s="31"/>
      <c r="M478" s="72"/>
      <c r="N478" s="73"/>
      <c r="O478" s="74"/>
      <c r="P478" s="75">
        <f t="shared" si="43"/>
      </c>
      <c r="Q478" s="76"/>
      <c r="S478" s="110"/>
      <c r="T478" s="12"/>
      <c r="U478" s="12"/>
      <c r="V478" s="12"/>
      <c r="W478" s="19"/>
      <c r="X478" s="111"/>
    </row>
    <row r="479" spans="1:24" ht="12.75" hidden="1" outlineLevel="1">
      <c r="A479" s="60"/>
      <c r="B479" s="61"/>
      <c r="C479" s="62"/>
      <c r="D479" s="65"/>
      <c r="E479" s="44" t="s">
        <v>190</v>
      </c>
      <c r="F479" s="33">
        <f>+D445</f>
        <v>100.85</v>
      </c>
      <c r="G479" s="42" t="s">
        <v>108</v>
      </c>
      <c r="H479" s="43"/>
      <c r="I479" s="43"/>
      <c r="J479" s="36">
        <f>+J460</f>
        <v>1.38</v>
      </c>
      <c r="K479" s="37">
        <f t="shared" si="41"/>
        <v>139.17299999999997</v>
      </c>
      <c r="L479" s="31"/>
      <c r="M479" s="72"/>
      <c r="N479" s="73"/>
      <c r="O479" s="74"/>
      <c r="P479" s="75">
        <f t="shared" si="43"/>
      </c>
      <c r="Q479" s="76"/>
      <c r="S479" s="121"/>
      <c r="T479" s="114"/>
      <c r="U479" s="12"/>
      <c r="V479" s="12"/>
      <c r="W479" s="19"/>
      <c r="X479" s="111"/>
    </row>
    <row r="480" spans="1:24" ht="12.75" hidden="1" outlineLevel="1">
      <c r="A480" s="60"/>
      <c r="B480" s="61"/>
      <c r="C480" s="62"/>
      <c r="D480" s="65"/>
      <c r="E480" s="44"/>
      <c r="F480" s="33"/>
      <c r="G480" s="42"/>
      <c r="H480" s="43"/>
      <c r="I480" s="43"/>
      <c r="J480" s="36">
        <f>IF(+I480+H480&gt;0,I480+(H480*labour),"")</f>
      </c>
      <c r="K480" s="37">
        <f t="shared" si="41"/>
      </c>
      <c r="L480" s="31"/>
      <c r="M480" s="72"/>
      <c r="N480" s="73"/>
      <c r="O480" s="74"/>
      <c r="P480" s="75">
        <f t="shared" si="43"/>
      </c>
      <c r="Q480" s="76"/>
      <c r="S480" s="110"/>
      <c r="T480" s="12"/>
      <c r="U480" s="12"/>
      <c r="V480" s="12"/>
      <c r="W480" s="19"/>
      <c r="X480" s="111"/>
    </row>
    <row r="481" spans="1:24" ht="12.75" hidden="1" outlineLevel="1">
      <c r="A481" s="60"/>
      <c r="B481" s="61"/>
      <c r="C481" s="62"/>
      <c r="D481" s="65"/>
      <c r="E481" s="44" t="s">
        <v>191</v>
      </c>
      <c r="F481" s="33">
        <f>+F479</f>
        <v>100.85</v>
      </c>
      <c r="G481" s="42" t="s">
        <v>108</v>
      </c>
      <c r="H481" s="43"/>
      <c r="I481" s="43"/>
      <c r="J481" s="36">
        <v>6.94</v>
      </c>
      <c r="K481" s="37">
        <f t="shared" si="41"/>
        <v>699.899</v>
      </c>
      <c r="L481" s="31" t="s">
        <v>193</v>
      </c>
      <c r="M481" s="72"/>
      <c r="N481" s="73"/>
      <c r="O481" s="74"/>
      <c r="P481" s="75">
        <f t="shared" si="43"/>
      </c>
      <c r="Q481" s="76"/>
      <c r="S481" s="121"/>
      <c r="T481" s="114"/>
      <c r="U481" s="12"/>
      <c r="V481" s="12"/>
      <c r="W481" s="19"/>
      <c r="X481" s="111"/>
    </row>
    <row r="482" spans="1:24" ht="12.75" hidden="1" outlineLevel="1">
      <c r="A482" s="60"/>
      <c r="B482" s="61"/>
      <c r="C482" s="62"/>
      <c r="D482" s="65"/>
      <c r="E482" s="44"/>
      <c r="F482" s="33"/>
      <c r="G482" s="42"/>
      <c r="H482" s="43"/>
      <c r="I482" s="43"/>
      <c r="J482" s="36">
        <f>IF(+I482+H482&gt;0,I482+(H482*labour),"")</f>
      </c>
      <c r="K482" s="37">
        <f t="shared" si="41"/>
      </c>
      <c r="L482" s="31"/>
      <c r="M482" s="72"/>
      <c r="N482" s="73"/>
      <c r="O482" s="74"/>
      <c r="P482" s="75">
        <f t="shared" si="43"/>
      </c>
      <c r="Q482" s="76"/>
      <c r="S482" s="110"/>
      <c r="T482" s="12"/>
      <c r="U482" s="12"/>
      <c r="V482" s="12"/>
      <c r="W482" s="19"/>
      <c r="X482" s="111"/>
    </row>
    <row r="483" spans="1:24" ht="12.75" hidden="1" outlineLevel="1">
      <c r="A483" s="60"/>
      <c r="B483" s="61"/>
      <c r="C483" s="62"/>
      <c r="D483" s="65"/>
      <c r="E483" s="44" t="s">
        <v>192</v>
      </c>
      <c r="F483" s="33">
        <f>+F481</f>
        <v>100.85</v>
      </c>
      <c r="G483" s="42" t="s">
        <v>108</v>
      </c>
      <c r="H483" s="43"/>
      <c r="I483" s="43"/>
      <c r="J483" s="36">
        <f>+J475</f>
        <v>3.29</v>
      </c>
      <c r="K483" s="37">
        <f t="shared" si="41"/>
        <v>331.7965</v>
      </c>
      <c r="L483" s="31"/>
      <c r="M483" s="72"/>
      <c r="N483" s="73"/>
      <c r="O483" s="74"/>
      <c r="P483" s="75">
        <f t="shared" si="43"/>
      </c>
      <c r="Q483" s="76"/>
      <c r="S483" s="121"/>
      <c r="T483" s="114"/>
      <c r="U483" s="12"/>
      <c r="V483" s="12"/>
      <c r="W483" s="19"/>
      <c r="X483" s="111"/>
    </row>
    <row r="484" spans="1:24" ht="12.75" hidden="1" outlineLevel="1">
      <c r="A484" s="60"/>
      <c r="B484" s="61"/>
      <c r="C484" s="62"/>
      <c r="D484" s="65"/>
      <c r="E484" s="44"/>
      <c r="F484" s="33"/>
      <c r="G484" s="42"/>
      <c r="H484" s="43"/>
      <c r="I484" s="43"/>
      <c r="J484" s="36">
        <f>IF(+I484+H484&gt;0,I484+(H484*labour),"")</f>
      </c>
      <c r="K484" s="37">
        <f t="shared" si="41"/>
      </c>
      <c r="L484" s="31"/>
      <c r="M484" s="72"/>
      <c r="N484" s="73"/>
      <c r="O484" s="74"/>
      <c r="P484" s="75">
        <f t="shared" si="43"/>
      </c>
      <c r="Q484" s="76"/>
      <c r="S484" s="110"/>
      <c r="T484" s="12"/>
      <c r="U484" s="12"/>
      <c r="V484" s="12"/>
      <c r="W484" s="19"/>
      <c r="X484" s="111"/>
    </row>
    <row r="485" spans="1:24" ht="25.5" hidden="1" outlineLevel="1">
      <c r="A485" s="60"/>
      <c r="B485" s="61"/>
      <c r="C485" s="62"/>
      <c r="D485" s="65"/>
      <c r="E485" s="44" t="s">
        <v>339</v>
      </c>
      <c r="F485" s="33" t="s">
        <v>1</v>
      </c>
      <c r="G485" s="42"/>
      <c r="H485" s="43"/>
      <c r="I485" s="43">
        <v>100</v>
      </c>
      <c r="J485" s="36">
        <f>IF(+I485+H485&gt;0,I485+(H485*labour),"")</f>
        <v>100</v>
      </c>
      <c r="K485" s="37">
        <f t="shared" si="41"/>
        <v>100</v>
      </c>
      <c r="L485" s="31"/>
      <c r="M485" s="72"/>
      <c r="N485" s="73"/>
      <c r="O485" s="74"/>
      <c r="P485" s="75">
        <f aca="true" t="shared" si="44" ref="P485:P496">+IF(M485="item",O485,IF(M485&lt;&gt;0,M485*O485,""))</f>
      </c>
      <c r="Q485" s="76"/>
      <c r="S485" s="121"/>
      <c r="T485" s="114"/>
      <c r="U485" s="12"/>
      <c r="V485" s="12"/>
      <c r="W485" s="19"/>
      <c r="X485" s="111"/>
    </row>
    <row r="486" spans="1:24" ht="12.75" hidden="1" outlineLevel="1">
      <c r="A486" s="60"/>
      <c r="B486" s="61"/>
      <c r="C486" s="62"/>
      <c r="D486" s="65"/>
      <c r="E486" s="44"/>
      <c r="F486" s="33"/>
      <c r="G486" s="42"/>
      <c r="H486" s="43"/>
      <c r="I486" s="43"/>
      <c r="J486" s="36">
        <f>IF(+I486+H486&gt;0,I486+(H486*labour),"")</f>
      </c>
      <c r="K486" s="37">
        <f t="shared" si="41"/>
      </c>
      <c r="L486" s="31"/>
      <c r="M486" s="72"/>
      <c r="N486" s="73"/>
      <c r="O486" s="74"/>
      <c r="P486" s="75">
        <f t="shared" si="44"/>
      </c>
      <c r="Q486" s="76"/>
      <c r="S486" s="110"/>
      <c r="T486" s="12"/>
      <c r="U486" s="12"/>
      <c r="V486" s="12"/>
      <c r="W486" s="19"/>
      <c r="X486" s="111"/>
    </row>
    <row r="487" spans="1:24" ht="12.75" hidden="1" outlineLevel="1">
      <c r="A487" s="60"/>
      <c r="B487" s="61"/>
      <c r="C487" s="62"/>
      <c r="D487" s="65"/>
      <c r="E487" s="44" t="s">
        <v>195</v>
      </c>
      <c r="F487" s="33"/>
      <c r="G487" s="42"/>
      <c r="H487" s="43"/>
      <c r="I487" s="43"/>
      <c r="J487" s="36">
        <f>IF(+I487+H487&gt;0,I487+(H487*labour),"")</f>
      </c>
      <c r="K487" s="37">
        <f t="shared" si="41"/>
      </c>
      <c r="L487" s="31"/>
      <c r="M487" s="72"/>
      <c r="N487" s="73"/>
      <c r="O487" s="74"/>
      <c r="P487" s="75">
        <f t="shared" si="44"/>
      </c>
      <c r="Q487" s="76"/>
      <c r="S487" s="110"/>
      <c r="T487" s="12"/>
      <c r="U487" s="12"/>
      <c r="V487" s="12"/>
      <c r="W487" s="19"/>
      <c r="X487" s="111"/>
    </row>
    <row r="488" spans="1:24" ht="12.75" hidden="1" outlineLevel="1">
      <c r="A488" s="60"/>
      <c r="B488" s="61"/>
      <c r="C488" s="62"/>
      <c r="D488" s="65"/>
      <c r="E488" s="44"/>
      <c r="F488" s="33"/>
      <c r="G488" s="42"/>
      <c r="H488" s="43"/>
      <c r="I488" s="43"/>
      <c r="J488" s="36">
        <f>IF(+I488+H488&gt;0,I488+(H488*labour),"")</f>
      </c>
      <c r="K488" s="37">
        <f t="shared" si="41"/>
      </c>
      <c r="L488" s="31"/>
      <c r="M488" s="72"/>
      <c r="N488" s="73"/>
      <c r="O488" s="74"/>
      <c r="P488" s="75">
        <f t="shared" si="44"/>
      </c>
      <c r="Q488" s="76"/>
      <c r="S488" s="110"/>
      <c r="T488" s="12"/>
      <c r="U488" s="12"/>
      <c r="V488" s="12"/>
      <c r="W488" s="19"/>
      <c r="X488" s="111"/>
    </row>
    <row r="489" spans="1:24" ht="12.75" hidden="1" outlineLevel="1">
      <c r="A489" s="60"/>
      <c r="B489" s="61"/>
      <c r="C489" s="62"/>
      <c r="D489" s="65"/>
      <c r="E489" s="52" t="s">
        <v>196</v>
      </c>
      <c r="F489" s="33" t="s">
        <v>1</v>
      </c>
      <c r="G489" s="42"/>
      <c r="H489" s="43"/>
      <c r="I489" s="43"/>
      <c r="J489" s="36">
        <f>500*1.2</f>
        <v>600</v>
      </c>
      <c r="K489" s="37">
        <f t="shared" si="41"/>
        <v>600</v>
      </c>
      <c r="L489" s="31" t="s">
        <v>198</v>
      </c>
      <c r="M489" s="72"/>
      <c r="N489" s="73"/>
      <c r="O489" s="74"/>
      <c r="P489" s="75">
        <f t="shared" si="44"/>
      </c>
      <c r="Q489" s="76"/>
      <c r="S489" s="121"/>
      <c r="T489" s="114"/>
      <c r="U489" s="12"/>
      <c r="V489" s="12"/>
      <c r="W489" s="19"/>
      <c r="X489" s="111"/>
    </row>
    <row r="490" spans="1:24" ht="12.75" hidden="1" outlineLevel="1">
      <c r="A490" s="60"/>
      <c r="B490" s="61"/>
      <c r="C490" s="62"/>
      <c r="D490" s="65"/>
      <c r="E490" s="44"/>
      <c r="F490" s="33"/>
      <c r="G490" s="42"/>
      <c r="H490" s="43"/>
      <c r="I490" s="43"/>
      <c r="J490" s="36">
        <f>IF(+I490+H490&gt;0,I490+(H490*labour),"")</f>
      </c>
      <c r="K490" s="37">
        <f t="shared" si="41"/>
      </c>
      <c r="L490" s="31"/>
      <c r="M490" s="72"/>
      <c r="N490" s="73"/>
      <c r="O490" s="74"/>
      <c r="P490" s="75">
        <f t="shared" si="44"/>
      </c>
      <c r="Q490" s="76"/>
      <c r="S490" s="110"/>
      <c r="T490" s="12"/>
      <c r="U490" s="12"/>
      <c r="V490" s="12"/>
      <c r="W490" s="19"/>
      <c r="X490" s="111"/>
    </row>
    <row r="491" spans="1:24" ht="12.75" hidden="1" outlineLevel="1">
      <c r="A491" s="60"/>
      <c r="B491" s="61"/>
      <c r="C491" s="62"/>
      <c r="D491" s="65"/>
      <c r="E491" s="52" t="s">
        <v>197</v>
      </c>
      <c r="F491" s="33">
        <f>+F475</f>
        <v>53</v>
      </c>
      <c r="G491" s="42" t="s">
        <v>108</v>
      </c>
      <c r="H491" s="43"/>
      <c r="I491" s="43"/>
      <c r="J491" s="36">
        <f>23*1.08*1.2</f>
        <v>29.808000000000003</v>
      </c>
      <c r="K491" s="37">
        <f t="shared" si="41"/>
        <v>1579.824</v>
      </c>
      <c r="L491" s="31" t="s">
        <v>198</v>
      </c>
      <c r="M491" s="72"/>
      <c r="N491" s="73"/>
      <c r="O491" s="74"/>
      <c r="P491" s="75">
        <f t="shared" si="44"/>
      </c>
      <c r="Q491" s="76"/>
      <c r="S491" s="121"/>
      <c r="T491" s="114"/>
      <c r="U491" s="12"/>
      <c r="V491" s="12"/>
      <c r="W491" s="19"/>
      <c r="X491" s="111"/>
    </row>
    <row r="492" spans="1:24" ht="12.75" hidden="1" outlineLevel="1">
      <c r="A492" s="60"/>
      <c r="B492" s="61"/>
      <c r="C492" s="62"/>
      <c r="D492" s="65"/>
      <c r="E492" s="44"/>
      <c r="F492" s="33"/>
      <c r="G492" s="42"/>
      <c r="H492" s="43"/>
      <c r="I492" s="43"/>
      <c r="J492" s="36">
        <f>IF(+I492+H492&gt;0,I492+(H492*labour),"")</f>
      </c>
      <c r="K492" s="37">
        <f t="shared" si="41"/>
      </c>
      <c r="L492" s="31"/>
      <c r="M492" s="72"/>
      <c r="N492" s="73"/>
      <c r="O492" s="74"/>
      <c r="P492" s="75">
        <f t="shared" si="44"/>
      </c>
      <c r="Q492" s="76"/>
      <c r="S492" s="110"/>
      <c r="T492" s="12"/>
      <c r="U492" s="12"/>
      <c r="V492" s="12"/>
      <c r="W492" s="19"/>
      <c r="X492" s="111"/>
    </row>
    <row r="493" spans="1:24" ht="12.75" hidden="1" outlineLevel="1">
      <c r="A493" s="60"/>
      <c r="B493" s="61"/>
      <c r="C493" s="62"/>
      <c r="D493" s="65"/>
      <c r="E493" s="52" t="s">
        <v>199</v>
      </c>
      <c r="F493" s="33" t="s">
        <v>1</v>
      </c>
      <c r="G493" s="42"/>
      <c r="H493" s="43">
        <v>4</v>
      </c>
      <c r="I493" s="43"/>
      <c r="J493" s="36">
        <f>IF(+I493+H493&gt;0,I493+(H493*labour),"")</f>
        <v>120</v>
      </c>
      <c r="K493" s="37">
        <f t="shared" si="41"/>
        <v>120</v>
      </c>
      <c r="L493" s="31"/>
      <c r="M493" s="72"/>
      <c r="N493" s="73"/>
      <c r="O493" s="74"/>
      <c r="P493" s="75">
        <f t="shared" si="44"/>
      </c>
      <c r="Q493" s="76"/>
      <c r="S493" s="121"/>
      <c r="T493" s="114"/>
      <c r="U493" s="12"/>
      <c r="V493" s="12"/>
      <c r="W493" s="19"/>
      <c r="X493" s="111"/>
    </row>
    <row r="494" spans="1:24" ht="12.75" hidden="1" outlineLevel="1">
      <c r="A494" s="60"/>
      <c r="B494" s="61"/>
      <c r="C494" s="62"/>
      <c r="D494" s="65"/>
      <c r="E494" s="52"/>
      <c r="F494" s="33"/>
      <c r="G494" s="42"/>
      <c r="H494" s="43"/>
      <c r="I494" s="43"/>
      <c r="J494" s="36"/>
      <c r="K494" s="37"/>
      <c r="L494" s="31"/>
      <c r="M494" s="72"/>
      <c r="N494" s="73"/>
      <c r="O494" s="74"/>
      <c r="P494" s="75"/>
      <c r="Q494" s="76"/>
      <c r="S494" s="121"/>
      <c r="T494" s="114"/>
      <c r="U494" s="12"/>
      <c r="V494" s="12"/>
      <c r="W494" s="19"/>
      <c r="X494" s="111"/>
    </row>
    <row r="495" spans="1:24" ht="12.75" hidden="1" outlineLevel="1">
      <c r="A495" s="60"/>
      <c r="B495" s="61"/>
      <c r="C495" s="62"/>
      <c r="D495" s="65"/>
      <c r="E495" s="38" t="s">
        <v>362</v>
      </c>
      <c r="F495" s="33">
        <v>10</v>
      </c>
      <c r="G495" s="34" t="s">
        <v>363</v>
      </c>
      <c r="H495" s="39"/>
      <c r="I495" s="39"/>
      <c r="J495" s="36">
        <f>SUM(K337:K493)</f>
        <v>25691.685555555552</v>
      </c>
      <c r="K495" s="37">
        <f>+J495*F495%</f>
        <v>2569.1685555555555</v>
      </c>
      <c r="L495" s="31"/>
      <c r="M495" s="72"/>
      <c r="N495" s="73"/>
      <c r="O495" s="74"/>
      <c r="P495" s="75"/>
      <c r="Q495" s="76"/>
      <c r="S495" s="121"/>
      <c r="T495" s="114"/>
      <c r="U495" s="12"/>
      <c r="V495" s="12"/>
      <c r="W495" s="19"/>
      <c r="X495" s="111"/>
    </row>
    <row r="496" spans="1:24" ht="12.75" collapsed="1">
      <c r="A496" s="60"/>
      <c r="B496" s="61"/>
      <c r="C496" s="62"/>
      <c r="D496" s="65"/>
      <c r="E496" s="44"/>
      <c r="F496" s="33"/>
      <c r="G496" s="42"/>
      <c r="H496" s="43"/>
      <c r="I496" s="43"/>
      <c r="J496" s="36">
        <f>IF(+I496+H496&gt;0,I496+(H496*labour),"")</f>
      </c>
      <c r="K496" s="37">
        <f t="shared" si="41"/>
      </c>
      <c r="L496" s="31"/>
      <c r="M496" s="72"/>
      <c r="N496" s="73"/>
      <c r="O496" s="74"/>
      <c r="P496" s="75">
        <f t="shared" si="44"/>
      </c>
      <c r="Q496" s="76"/>
      <c r="S496" s="110"/>
      <c r="T496" s="12"/>
      <c r="U496" s="12"/>
      <c r="V496" s="12"/>
      <c r="W496" s="19"/>
      <c r="X496" s="111"/>
    </row>
    <row r="497" spans="1:24" ht="12.75">
      <c r="A497" s="60"/>
      <c r="B497" s="61"/>
      <c r="C497" s="62"/>
      <c r="D497" s="65"/>
      <c r="E497" s="77"/>
      <c r="F497" s="33"/>
      <c r="G497" s="42"/>
      <c r="H497" s="43"/>
      <c r="I497" s="43"/>
      <c r="J497" s="36"/>
      <c r="K497" s="37">
        <f aca="true" t="shared" si="45" ref="K497:K504">+IF(F497="item",J497,IF(F497&lt;&gt;0,F497*J497,""))</f>
      </c>
      <c r="L497" s="31"/>
      <c r="M497" s="33"/>
      <c r="N497" s="42"/>
      <c r="O497" s="36"/>
      <c r="P497" s="37"/>
      <c r="Q497" s="54"/>
      <c r="S497" s="110"/>
      <c r="T497" s="12"/>
      <c r="U497" s="12"/>
      <c r="V497" s="12"/>
      <c r="W497" s="19"/>
      <c r="X497" s="111"/>
    </row>
    <row r="498" spans="1:24" ht="15.75">
      <c r="A498" s="60"/>
      <c r="B498" s="61"/>
      <c r="C498" s="64"/>
      <c r="D498" s="63"/>
      <c r="E498" s="78" t="s">
        <v>144</v>
      </c>
      <c r="F498" s="79"/>
      <c r="G498" s="80"/>
      <c r="H498" s="81"/>
      <c r="I498" s="81"/>
      <c r="J498" s="82">
        <f>IF(+I498+H498&gt;0,I498+(H498*labour),"")</f>
      </c>
      <c r="K498" s="83">
        <f t="shared" si="45"/>
      </c>
      <c r="L498" s="84"/>
      <c r="M498" s="79"/>
      <c r="N498" s="80"/>
      <c r="O498" s="82"/>
      <c r="P498" s="83">
        <f>+IF(M498="item",O498,IF(M498&lt;&gt;0,M498*O498,""))</f>
      </c>
      <c r="Q498" s="85"/>
      <c r="R498" s="89"/>
      <c r="S498" s="117"/>
      <c r="T498" s="118"/>
      <c r="U498" s="118"/>
      <c r="V498" s="118"/>
      <c r="W498" s="119"/>
      <c r="X498" s="120"/>
    </row>
    <row r="499" spans="1:24" ht="12.75">
      <c r="A499" s="60"/>
      <c r="B499" s="61"/>
      <c r="C499" s="62"/>
      <c r="D499" s="65"/>
      <c r="E499" s="77"/>
      <c r="F499" s="33"/>
      <c r="G499" s="42"/>
      <c r="H499" s="43"/>
      <c r="I499" s="43"/>
      <c r="J499" s="36"/>
      <c r="K499" s="37">
        <f t="shared" si="45"/>
      </c>
      <c r="L499" s="31"/>
      <c r="M499" s="33"/>
      <c r="N499" s="42"/>
      <c r="O499" s="36"/>
      <c r="P499" s="37"/>
      <c r="Q499" s="54"/>
      <c r="S499" s="110"/>
      <c r="T499" s="12"/>
      <c r="U499" s="12"/>
      <c r="V499" s="12"/>
      <c r="W499" s="19"/>
      <c r="X499" s="111"/>
    </row>
    <row r="500" spans="1:24" ht="25.5">
      <c r="A500" s="60"/>
      <c r="B500" s="61"/>
      <c r="C500" s="62"/>
      <c r="D500" s="65"/>
      <c r="E500" s="77" t="s">
        <v>145</v>
      </c>
      <c r="F500" s="33"/>
      <c r="G500" s="42"/>
      <c r="H500" s="43"/>
      <c r="I500" s="43"/>
      <c r="J500" s="36"/>
      <c r="K500" s="53">
        <f>SUM(K501:K505)</f>
        <v>1314.725</v>
      </c>
      <c r="L500" s="31" t="s">
        <v>365</v>
      </c>
      <c r="M500" s="72"/>
      <c r="N500" s="73"/>
      <c r="O500" s="74"/>
      <c r="P500" s="75"/>
      <c r="Q500" s="76"/>
      <c r="S500" s="110"/>
      <c r="T500" s="12"/>
      <c r="U500" s="12"/>
      <c r="V500" s="12"/>
      <c r="W500" s="19"/>
      <c r="X500" s="111"/>
    </row>
    <row r="501" spans="1:24" ht="12.75">
      <c r="A501" s="60"/>
      <c r="B501" s="61"/>
      <c r="C501" s="62"/>
      <c r="D501" s="65"/>
      <c r="E501" s="77"/>
      <c r="F501" s="33"/>
      <c r="G501" s="42"/>
      <c r="H501" s="43"/>
      <c r="I501" s="43"/>
      <c r="J501" s="36"/>
      <c r="K501" s="37">
        <f t="shared" si="45"/>
      </c>
      <c r="L501" s="31"/>
      <c r="M501" s="72"/>
      <c r="N501" s="73"/>
      <c r="O501" s="74"/>
      <c r="P501" s="75"/>
      <c r="Q501" s="76"/>
      <c r="S501" s="110"/>
      <c r="T501" s="12"/>
      <c r="U501" s="12"/>
      <c r="V501" s="12"/>
      <c r="W501" s="19"/>
      <c r="X501" s="111"/>
    </row>
    <row r="502" spans="1:24" ht="12.75" hidden="1" outlineLevel="1">
      <c r="A502" s="60"/>
      <c r="B502" s="61"/>
      <c r="C502" s="62"/>
      <c r="D502" s="65"/>
      <c r="E502" s="44" t="s">
        <v>305</v>
      </c>
      <c r="F502" s="33" t="s">
        <v>1</v>
      </c>
      <c r="G502" s="42"/>
      <c r="H502" s="43"/>
      <c r="I502" s="43"/>
      <c r="J502" s="36">
        <f>passiventvic</f>
        <v>894.725</v>
      </c>
      <c r="K502" s="37">
        <f t="shared" si="45"/>
        <v>894.725</v>
      </c>
      <c r="L502" s="31"/>
      <c r="M502" s="72"/>
      <c r="N502" s="73"/>
      <c r="O502" s="74"/>
      <c r="P502" s="75"/>
      <c r="Q502" s="76"/>
      <c r="S502" s="110"/>
      <c r="T502" s="12"/>
      <c r="U502" s="12"/>
      <c r="V502" s="12"/>
      <c r="W502" s="19"/>
      <c r="X502" s="111"/>
    </row>
    <row r="503" spans="1:24" ht="12.75" hidden="1" outlineLevel="1">
      <c r="A503" s="60"/>
      <c r="B503" s="61"/>
      <c r="C503" s="62"/>
      <c r="D503" s="65"/>
      <c r="E503" s="77"/>
      <c r="F503" s="33"/>
      <c r="G503" s="42"/>
      <c r="H503" s="43"/>
      <c r="I503" s="43"/>
      <c r="J503" s="36"/>
      <c r="K503" s="37">
        <f t="shared" si="45"/>
      </c>
      <c r="L503" s="31"/>
      <c r="M503" s="72"/>
      <c r="N503" s="73"/>
      <c r="O503" s="74"/>
      <c r="P503" s="75"/>
      <c r="Q503" s="76"/>
      <c r="S503" s="110"/>
      <c r="T503" s="12"/>
      <c r="U503" s="12"/>
      <c r="V503" s="12"/>
      <c r="W503" s="19"/>
      <c r="X503" s="111"/>
    </row>
    <row r="504" spans="1:24" ht="12.75" hidden="1" outlineLevel="1">
      <c r="A504" s="60"/>
      <c r="B504" s="61"/>
      <c r="C504" s="62"/>
      <c r="D504" s="65"/>
      <c r="E504" s="44" t="s">
        <v>151</v>
      </c>
      <c r="F504" s="33" t="s">
        <v>1</v>
      </c>
      <c r="G504" s="42"/>
      <c r="H504" s="43"/>
      <c r="I504" s="43"/>
      <c r="J504" s="36">
        <f>passiventfitvic</f>
        <v>420</v>
      </c>
      <c r="K504" s="37">
        <f t="shared" si="45"/>
        <v>420</v>
      </c>
      <c r="L504" s="31"/>
      <c r="M504" s="72"/>
      <c r="N504" s="73"/>
      <c r="O504" s="74"/>
      <c r="P504" s="75"/>
      <c r="Q504" s="76"/>
      <c r="S504" s="110"/>
      <c r="T504" s="12"/>
      <c r="U504" s="12"/>
      <c r="V504" s="12"/>
      <c r="W504" s="19"/>
      <c r="X504" s="111"/>
    </row>
    <row r="505" spans="1:24" ht="12.75" hidden="1" outlineLevel="1">
      <c r="A505" s="60"/>
      <c r="B505" s="61"/>
      <c r="C505" s="62"/>
      <c r="D505" s="65"/>
      <c r="E505" s="77"/>
      <c r="F505" s="33"/>
      <c r="G505" s="42"/>
      <c r="H505" s="43"/>
      <c r="I505" s="43"/>
      <c r="J505" s="36"/>
      <c r="K505" s="37"/>
      <c r="L505" s="31"/>
      <c r="M505" s="72"/>
      <c r="N505" s="73"/>
      <c r="O505" s="74"/>
      <c r="P505" s="75"/>
      <c r="Q505" s="76"/>
      <c r="S505" s="110"/>
      <c r="T505" s="12"/>
      <c r="U505" s="12"/>
      <c r="V505" s="12"/>
      <c r="W505" s="19"/>
      <c r="X505" s="111"/>
    </row>
    <row r="506" spans="1:24" ht="12.75" hidden="1" outlineLevel="1">
      <c r="A506" s="60"/>
      <c r="B506" s="61"/>
      <c r="C506" s="62"/>
      <c r="D506" s="65"/>
      <c r="E506" s="77"/>
      <c r="F506" s="33"/>
      <c r="G506" s="42"/>
      <c r="H506" s="43"/>
      <c r="I506" s="43"/>
      <c r="J506" s="36"/>
      <c r="K506" s="37">
        <f aca="true" t="shared" si="46" ref="K506:K512">+IF(F506="item",J506,IF(F506&lt;&gt;0,F506*J506,""))</f>
      </c>
      <c r="L506" s="31"/>
      <c r="M506" s="72"/>
      <c r="N506" s="73"/>
      <c r="O506" s="74"/>
      <c r="P506" s="75"/>
      <c r="Q506" s="76"/>
      <c r="S506" s="110"/>
      <c r="T506" s="12"/>
      <c r="U506" s="12"/>
      <c r="V506" s="12"/>
      <c r="W506" s="19"/>
      <c r="X506" s="111"/>
    </row>
    <row r="507" spans="1:24" ht="12.75" collapsed="1">
      <c r="A507" s="60"/>
      <c r="B507" s="61"/>
      <c r="C507" s="62"/>
      <c r="D507" s="65"/>
      <c r="E507" s="77"/>
      <c r="F507" s="33"/>
      <c r="G507" s="42"/>
      <c r="H507" s="43"/>
      <c r="I507" s="43"/>
      <c r="J507" s="36"/>
      <c r="K507" s="37">
        <f t="shared" si="46"/>
      </c>
      <c r="L507" s="31"/>
      <c r="M507" s="72"/>
      <c r="N507" s="73"/>
      <c r="O507" s="74"/>
      <c r="P507" s="75"/>
      <c r="Q507" s="76"/>
      <c r="S507" s="110"/>
      <c r="T507" s="12"/>
      <c r="U507" s="12"/>
      <c r="V507" s="12"/>
      <c r="W507" s="19"/>
      <c r="X507" s="111"/>
    </row>
    <row r="508" spans="1:24" ht="38.25">
      <c r="A508" s="60"/>
      <c r="B508" s="61"/>
      <c r="C508" s="62"/>
      <c r="D508" s="65"/>
      <c r="E508" s="77" t="s">
        <v>146</v>
      </c>
      <c r="F508" s="33"/>
      <c r="G508" s="42"/>
      <c r="H508" s="43"/>
      <c r="I508" s="43"/>
      <c r="J508" s="36"/>
      <c r="K508" s="53">
        <f>SUM(K509:K510)</f>
        <v>15600</v>
      </c>
      <c r="L508" s="31" t="s">
        <v>268</v>
      </c>
      <c r="M508" s="72"/>
      <c r="N508" s="73"/>
      <c r="O508" s="74"/>
      <c r="P508" s="75"/>
      <c r="Q508" s="76"/>
      <c r="S508" s="110"/>
      <c r="T508" s="12"/>
      <c r="U508" s="12"/>
      <c r="V508" s="12"/>
      <c r="W508" s="19"/>
      <c r="X508" s="111"/>
    </row>
    <row r="509" spans="1:24" ht="12.75" hidden="1" outlineLevel="1">
      <c r="A509" s="60"/>
      <c r="B509" s="61"/>
      <c r="C509" s="62"/>
      <c r="D509" s="65"/>
      <c r="E509" s="77"/>
      <c r="F509" s="33"/>
      <c r="G509" s="42"/>
      <c r="H509" s="43"/>
      <c r="I509" s="43"/>
      <c r="J509" s="36"/>
      <c r="K509" s="37">
        <f t="shared" si="46"/>
      </c>
      <c r="L509" s="31"/>
      <c r="M509" s="72"/>
      <c r="N509" s="73"/>
      <c r="O509" s="74"/>
      <c r="P509" s="75"/>
      <c r="Q509" s="76"/>
      <c r="S509" s="113" t="s">
        <v>257</v>
      </c>
      <c r="T509" s="12"/>
      <c r="U509" s="12"/>
      <c r="V509" s="12"/>
      <c r="W509" s="19"/>
      <c r="X509" s="111"/>
    </row>
    <row r="510" spans="1:24" ht="12.75" hidden="1" outlineLevel="1">
      <c r="A510" s="60"/>
      <c r="B510" s="61"/>
      <c r="C510" s="62"/>
      <c r="D510" s="65"/>
      <c r="E510" s="44" t="s">
        <v>158</v>
      </c>
      <c r="F510" s="33">
        <v>1</v>
      </c>
      <c r="G510" s="42" t="s">
        <v>8</v>
      </c>
      <c r="H510" s="43"/>
      <c r="I510" s="43"/>
      <c r="J510" s="36">
        <f>13000*1.2</f>
        <v>15600</v>
      </c>
      <c r="K510" s="37">
        <f t="shared" si="46"/>
        <v>15600</v>
      </c>
      <c r="L510" s="31" t="s">
        <v>171</v>
      </c>
      <c r="M510" s="72"/>
      <c r="N510" s="73"/>
      <c r="O510" s="74"/>
      <c r="P510" s="75"/>
      <c r="Q510" s="76"/>
      <c r="S510" s="110" t="str">
        <f>+E510</f>
        <v>Typical installation</v>
      </c>
      <c r="T510" s="114">
        <f>+K510</f>
        <v>15600</v>
      </c>
      <c r="U510" s="12"/>
      <c r="V510" s="12">
        <v>60</v>
      </c>
      <c r="W510" s="19">
        <f>ROUND(+IF(V510&gt;0,T510/V510,""),2)</f>
        <v>260</v>
      </c>
      <c r="X510" s="111"/>
    </row>
    <row r="511" spans="1:24" ht="12.75" hidden="1" outlineLevel="1">
      <c r="A511" s="60"/>
      <c r="B511" s="61"/>
      <c r="C511" s="62"/>
      <c r="D511" s="65"/>
      <c r="E511" s="77"/>
      <c r="F511" s="33"/>
      <c r="G511" s="42"/>
      <c r="H511" s="43"/>
      <c r="I511" s="43"/>
      <c r="J511" s="36"/>
      <c r="K511" s="37">
        <f t="shared" si="46"/>
      </c>
      <c r="L511" s="31" t="s">
        <v>172</v>
      </c>
      <c r="M511" s="72"/>
      <c r="N511" s="73"/>
      <c r="O511" s="74"/>
      <c r="P511" s="75"/>
      <c r="Q511" s="76"/>
      <c r="S511" s="110"/>
      <c r="T511" s="12"/>
      <c r="U511" s="12"/>
      <c r="V511" s="12"/>
      <c r="W511" s="19"/>
      <c r="X511" s="111"/>
    </row>
    <row r="512" spans="1:24" ht="12.75" hidden="1" outlineLevel="1">
      <c r="A512" s="60"/>
      <c r="B512" s="61"/>
      <c r="C512" s="62"/>
      <c r="D512" s="65"/>
      <c r="E512" s="77"/>
      <c r="F512" s="33"/>
      <c r="G512" s="42"/>
      <c r="H512" s="43"/>
      <c r="I512" s="43"/>
      <c r="J512" s="36"/>
      <c r="K512" s="37">
        <f t="shared" si="46"/>
      </c>
      <c r="L512" s="31"/>
      <c r="M512" s="72"/>
      <c r="N512" s="73"/>
      <c r="O512" s="74"/>
      <c r="P512" s="75"/>
      <c r="Q512" s="76"/>
      <c r="S512" s="113" t="s">
        <v>251</v>
      </c>
      <c r="T512" s="12"/>
      <c r="U512" s="12"/>
      <c r="V512" s="12"/>
      <c r="W512" s="19"/>
      <c r="X512" s="111"/>
    </row>
    <row r="513" spans="1:24" ht="12.75" hidden="1" outlineLevel="1">
      <c r="A513" s="60"/>
      <c r="B513" s="61"/>
      <c r="C513" s="62"/>
      <c r="D513" s="65"/>
      <c r="E513" s="77"/>
      <c r="F513" s="33"/>
      <c r="G513" s="42"/>
      <c r="H513" s="43"/>
      <c r="I513" s="43"/>
      <c r="J513" s="36"/>
      <c r="K513" s="37"/>
      <c r="L513" s="31"/>
      <c r="M513" s="72"/>
      <c r="N513" s="73"/>
      <c r="O513" s="74"/>
      <c r="P513" s="75"/>
      <c r="Q513" s="76"/>
      <c r="S513" s="110" t="s">
        <v>267</v>
      </c>
      <c r="T513" s="12"/>
      <c r="U513" s="12" t="s">
        <v>269</v>
      </c>
      <c r="V513" s="12">
        <v>1</v>
      </c>
      <c r="W513" s="19"/>
      <c r="X513" s="111"/>
    </row>
    <row r="514" spans="1:24" ht="12.75" hidden="1" outlineLevel="1">
      <c r="A514" s="60"/>
      <c r="B514" s="61"/>
      <c r="C514" s="62"/>
      <c r="D514" s="65"/>
      <c r="E514" s="77"/>
      <c r="F514" s="33"/>
      <c r="G514" s="42"/>
      <c r="H514" s="43"/>
      <c r="I514" s="43"/>
      <c r="J514" s="36"/>
      <c r="K514" s="37"/>
      <c r="L514" s="31"/>
      <c r="M514" s="72"/>
      <c r="N514" s="73"/>
      <c r="O514" s="74"/>
      <c r="P514" s="75"/>
      <c r="Q514" s="76"/>
      <c r="S514" s="110" t="s">
        <v>270</v>
      </c>
      <c r="T514" s="12"/>
      <c r="U514" s="12" t="s">
        <v>269</v>
      </c>
      <c r="V514" s="12" t="s">
        <v>269</v>
      </c>
      <c r="W514" s="19"/>
      <c r="X514" s="111"/>
    </row>
    <row r="515" spans="1:24" ht="12.75" hidden="1" outlineLevel="1">
      <c r="A515" s="60"/>
      <c r="B515" s="61"/>
      <c r="C515" s="62"/>
      <c r="D515" s="65"/>
      <c r="E515" s="77"/>
      <c r="F515" s="33"/>
      <c r="G515" s="42"/>
      <c r="H515" s="43"/>
      <c r="I515" s="43"/>
      <c r="J515" s="36"/>
      <c r="K515" s="37">
        <f>+IF(F515="item",J515,IF(F515&lt;&gt;0,F515*J515,""))</f>
      </c>
      <c r="L515" s="31"/>
      <c r="M515" s="72"/>
      <c r="N515" s="73"/>
      <c r="O515" s="74"/>
      <c r="P515" s="75"/>
      <c r="Q515" s="76"/>
      <c r="S515" s="110" t="s">
        <v>271</v>
      </c>
      <c r="T515" s="12"/>
      <c r="U515" s="12" t="s">
        <v>269</v>
      </c>
      <c r="V515" s="12" t="s">
        <v>269</v>
      </c>
      <c r="W515" s="19"/>
      <c r="X515" s="111"/>
    </row>
    <row r="516" spans="1:24" ht="12.75" collapsed="1">
      <c r="A516" s="60"/>
      <c r="B516" s="61"/>
      <c r="C516" s="62"/>
      <c r="D516" s="65"/>
      <c r="E516" s="77"/>
      <c r="F516" s="33"/>
      <c r="G516" s="42"/>
      <c r="H516" s="43"/>
      <c r="I516" s="43"/>
      <c r="J516" s="36"/>
      <c r="K516" s="37"/>
      <c r="L516" s="31"/>
      <c r="M516" s="72"/>
      <c r="N516" s="73"/>
      <c r="O516" s="74"/>
      <c r="P516" s="75"/>
      <c r="Q516" s="76"/>
      <c r="S516" s="110"/>
      <c r="T516" s="12"/>
      <c r="U516" s="12"/>
      <c r="V516" s="12"/>
      <c r="W516" s="19"/>
      <c r="X516" s="111"/>
    </row>
    <row r="517" spans="1:24" ht="12.75">
      <c r="A517" s="60"/>
      <c r="B517" s="61"/>
      <c r="C517" s="62"/>
      <c r="D517" s="65"/>
      <c r="E517" s="77"/>
      <c r="F517" s="33"/>
      <c r="G517" s="42"/>
      <c r="H517" s="43"/>
      <c r="I517" s="43"/>
      <c r="J517" s="36"/>
      <c r="K517" s="37"/>
      <c r="L517" s="31"/>
      <c r="M517" s="72"/>
      <c r="N517" s="73"/>
      <c r="O517" s="74"/>
      <c r="P517" s="75"/>
      <c r="Q517" s="76"/>
      <c r="S517" s="110"/>
      <c r="T517" s="12"/>
      <c r="U517" s="12"/>
      <c r="V517" s="12"/>
      <c r="W517" s="19"/>
      <c r="X517" s="111"/>
    </row>
    <row r="518" spans="1:24" ht="12.75">
      <c r="A518" s="60"/>
      <c r="B518" s="61"/>
      <c r="C518" s="62"/>
      <c r="D518" s="65"/>
      <c r="E518" s="77" t="s">
        <v>147</v>
      </c>
      <c r="F518" s="33"/>
      <c r="G518" s="42"/>
      <c r="H518" s="43"/>
      <c r="I518" s="43"/>
      <c r="J518" s="36"/>
      <c r="K518" s="53">
        <f>SUM(K520:K533)</f>
        <v>3115.0289500000003</v>
      </c>
      <c r="L518" s="31" t="s">
        <v>148</v>
      </c>
      <c r="M518" s="72"/>
      <c r="N518" s="73"/>
      <c r="O518" s="74"/>
      <c r="P518" s="75"/>
      <c r="Q518" s="76"/>
      <c r="S518" s="110"/>
      <c r="T518" s="12"/>
      <c r="U518" s="12"/>
      <c r="V518" s="12"/>
      <c r="W518" s="112">
        <f>SUM(W519:W534)</f>
        <v>159.3</v>
      </c>
      <c r="X518" s="122"/>
    </row>
    <row r="519" spans="1:24" ht="25.5" hidden="1" outlineLevel="1">
      <c r="A519" s="60"/>
      <c r="B519" s="61"/>
      <c r="C519" s="62"/>
      <c r="D519" s="65"/>
      <c r="E519" s="77"/>
      <c r="F519" s="33"/>
      <c r="G519" s="42"/>
      <c r="H519" s="43"/>
      <c r="I519" s="43"/>
      <c r="J519" s="36"/>
      <c r="K519" s="37">
        <f aca="true" t="shared" si="47" ref="K519:K535">+IF(F519="item",J519,IF(F519&lt;&gt;0,F519*J519,""))</f>
      </c>
      <c r="L519" s="44" t="s">
        <v>155</v>
      </c>
      <c r="M519" s="72"/>
      <c r="N519" s="73"/>
      <c r="O519" s="74"/>
      <c r="P519" s="75"/>
      <c r="Q519" s="76"/>
      <c r="S519" s="113" t="s">
        <v>257</v>
      </c>
      <c r="T519" s="12"/>
      <c r="U519" s="12"/>
      <c r="V519" s="12"/>
      <c r="W519" s="19"/>
      <c r="X519" s="122"/>
    </row>
    <row r="520" spans="1:24" ht="12.75" hidden="1" outlineLevel="1">
      <c r="A520" s="60"/>
      <c r="B520" s="61"/>
      <c r="C520" s="62"/>
      <c r="D520" s="65"/>
      <c r="E520" s="44" t="s">
        <v>149</v>
      </c>
      <c r="F520" s="33">
        <v>1</v>
      </c>
      <c r="G520" s="42" t="s">
        <v>8</v>
      </c>
      <c r="H520" s="43"/>
      <c r="I520" s="43"/>
      <c r="J520" s="36">
        <f>595*1.2</f>
        <v>714</v>
      </c>
      <c r="K520" s="37">
        <f t="shared" si="47"/>
        <v>714</v>
      </c>
      <c r="L520" s="31"/>
      <c r="M520" s="72"/>
      <c r="N520" s="73"/>
      <c r="O520" s="74"/>
      <c r="P520" s="75"/>
      <c r="Q520" s="76"/>
      <c r="S520" s="110" t="str">
        <f>+E520</f>
        <v>Purchase stove - Stockton 5</v>
      </c>
      <c r="T520" s="114">
        <f>+K520</f>
        <v>714</v>
      </c>
      <c r="U520" s="12"/>
      <c r="V520" s="12">
        <v>20</v>
      </c>
      <c r="W520" s="19">
        <f>ROUND(+IF(V520&gt;0,T520/V520,""),2)</f>
        <v>35.7</v>
      </c>
      <c r="X520" s="122"/>
    </row>
    <row r="521" spans="1:24" ht="12.75" hidden="1" outlineLevel="1">
      <c r="A521" s="60"/>
      <c r="B521" s="61"/>
      <c r="C521" s="62"/>
      <c r="D521" s="65"/>
      <c r="E521" s="44"/>
      <c r="F521" s="33"/>
      <c r="G521" s="42"/>
      <c r="H521" s="43"/>
      <c r="I521" s="43"/>
      <c r="J521" s="36"/>
      <c r="K521" s="37">
        <f t="shared" si="47"/>
      </c>
      <c r="L521" s="31"/>
      <c r="M521" s="72"/>
      <c r="N521" s="73"/>
      <c r="O521" s="74"/>
      <c r="P521" s="75"/>
      <c r="Q521" s="76"/>
      <c r="S521" s="110"/>
      <c r="T521" s="12"/>
      <c r="U521" s="12"/>
      <c r="V521" s="12"/>
      <c r="W521" s="19"/>
      <c r="X521" s="111"/>
    </row>
    <row r="522" spans="1:24" ht="12.75" hidden="1" outlineLevel="1">
      <c r="A522" s="60"/>
      <c r="B522" s="61"/>
      <c r="C522" s="62"/>
      <c r="D522" s="65"/>
      <c r="E522" s="44" t="s">
        <v>150</v>
      </c>
      <c r="F522" s="33">
        <v>1</v>
      </c>
      <c r="G522" s="42" t="s">
        <v>8</v>
      </c>
      <c r="H522" s="43"/>
      <c r="I522" s="43"/>
      <c r="J522" s="36">
        <f>24.96*1.2</f>
        <v>29.951999999999998</v>
      </c>
      <c r="K522" s="37">
        <f t="shared" si="47"/>
        <v>29.951999999999998</v>
      </c>
      <c r="L522" s="31"/>
      <c r="M522" s="72"/>
      <c r="N522" s="73"/>
      <c r="O522" s="74"/>
      <c r="P522" s="75"/>
      <c r="Q522" s="76"/>
      <c r="S522" s="110" t="str">
        <f>+E522</f>
        <v>Smoke control kit</v>
      </c>
      <c r="T522" s="114">
        <f>+K522</f>
        <v>29.951999999999998</v>
      </c>
      <c r="U522" s="12"/>
      <c r="V522" s="12">
        <v>20</v>
      </c>
      <c r="W522" s="19">
        <f>ROUND(+IF(V522&gt;0,T522/V522,""),2)</f>
        <v>1.5</v>
      </c>
      <c r="X522" s="111"/>
    </row>
    <row r="523" spans="1:24" ht="12.75" hidden="1" outlineLevel="1">
      <c r="A523" s="60"/>
      <c r="B523" s="61"/>
      <c r="C523" s="62"/>
      <c r="D523" s="65"/>
      <c r="E523" s="44"/>
      <c r="F523" s="33"/>
      <c r="G523" s="42"/>
      <c r="H523" s="43"/>
      <c r="I523" s="43"/>
      <c r="J523" s="36"/>
      <c r="K523" s="37">
        <f t="shared" si="47"/>
      </c>
      <c r="L523" s="31"/>
      <c r="M523" s="72"/>
      <c r="N523" s="73"/>
      <c r="O523" s="74"/>
      <c r="P523" s="75"/>
      <c r="Q523" s="76"/>
      <c r="S523" s="110"/>
      <c r="T523" s="12"/>
      <c r="U523" s="12"/>
      <c r="V523" s="12"/>
      <c r="W523" s="19"/>
      <c r="X523" s="111"/>
    </row>
    <row r="524" spans="1:24" ht="12.75" hidden="1" outlineLevel="1">
      <c r="A524" s="60"/>
      <c r="B524" s="61"/>
      <c r="C524" s="62"/>
      <c r="D524" s="65"/>
      <c r="E524" s="44" t="s">
        <v>151</v>
      </c>
      <c r="F524" s="33">
        <v>1</v>
      </c>
      <c r="G524" s="42" t="s">
        <v>8</v>
      </c>
      <c r="H524" s="43"/>
      <c r="I524" s="43"/>
      <c r="J524" s="36">
        <f>300*1.2</f>
        <v>360</v>
      </c>
      <c r="K524" s="37">
        <f t="shared" si="47"/>
        <v>360</v>
      </c>
      <c r="L524" s="31"/>
      <c r="M524" s="72"/>
      <c r="N524" s="73"/>
      <c r="O524" s="74"/>
      <c r="P524" s="75"/>
      <c r="Q524" s="76"/>
      <c r="S524" s="110"/>
      <c r="T524" s="12"/>
      <c r="U524" s="12"/>
      <c r="V524" s="12"/>
      <c r="W524" s="19"/>
      <c r="X524" s="111"/>
    </row>
    <row r="525" spans="1:24" ht="12.75" hidden="1" outlineLevel="1">
      <c r="A525" s="60"/>
      <c r="B525" s="61"/>
      <c r="C525" s="62"/>
      <c r="D525" s="65"/>
      <c r="E525" s="44"/>
      <c r="F525" s="33"/>
      <c r="G525" s="42"/>
      <c r="H525" s="43"/>
      <c r="I525" s="43"/>
      <c r="J525" s="36"/>
      <c r="K525" s="37">
        <f t="shared" si="47"/>
      </c>
      <c r="L525" s="31"/>
      <c r="M525" s="72"/>
      <c r="N525" s="73"/>
      <c r="O525" s="74"/>
      <c r="P525" s="75"/>
      <c r="Q525" s="76"/>
      <c r="S525" s="110"/>
      <c r="T525" s="12"/>
      <c r="U525" s="12"/>
      <c r="V525" s="12"/>
      <c r="W525" s="19"/>
      <c r="X525" s="111"/>
    </row>
    <row r="526" spans="1:24" ht="12.75" hidden="1" outlineLevel="1">
      <c r="A526" s="60"/>
      <c r="B526" s="61"/>
      <c r="C526" s="62"/>
      <c r="D526" s="65"/>
      <c r="E526" s="44" t="s">
        <v>152</v>
      </c>
      <c r="F526" s="33">
        <v>1</v>
      </c>
      <c r="G526" s="42" t="s">
        <v>8</v>
      </c>
      <c r="H526" s="43"/>
      <c r="I526" s="43"/>
      <c r="J526" s="36">
        <f>535*1.2</f>
        <v>642</v>
      </c>
      <c r="K526" s="37">
        <f t="shared" si="47"/>
        <v>642</v>
      </c>
      <c r="L526" s="31"/>
      <c r="M526" s="72"/>
      <c r="N526" s="73"/>
      <c r="O526" s="74"/>
      <c r="P526" s="75"/>
      <c r="Q526" s="76"/>
      <c r="S526" s="110" t="str">
        <f>+E526</f>
        <v>Liner and vermiculite</v>
      </c>
      <c r="T526" s="114">
        <f>+K526</f>
        <v>642</v>
      </c>
      <c r="U526" s="12"/>
      <c r="V526" s="12">
        <v>20</v>
      </c>
      <c r="W526" s="19">
        <f>ROUND(+IF(V526&gt;0,T526/V526,""),2)</f>
        <v>32.1</v>
      </c>
      <c r="X526" s="111"/>
    </row>
    <row r="527" spans="1:24" ht="12.75" hidden="1" outlineLevel="1">
      <c r="A527" s="60"/>
      <c r="B527" s="61"/>
      <c r="C527" s="62"/>
      <c r="D527" s="65"/>
      <c r="E527" s="44"/>
      <c r="F527" s="33"/>
      <c r="G527" s="42"/>
      <c r="H527" s="43"/>
      <c r="I527" s="43"/>
      <c r="J527" s="36"/>
      <c r="K527" s="37">
        <f t="shared" si="47"/>
      </c>
      <c r="L527" s="31"/>
      <c r="M527" s="72"/>
      <c r="N527" s="73"/>
      <c r="O527" s="74"/>
      <c r="P527" s="75"/>
      <c r="Q527" s="76"/>
      <c r="S527" s="110"/>
      <c r="T527" s="12"/>
      <c r="U527" s="12"/>
      <c r="V527" s="12"/>
      <c r="W527" s="19"/>
      <c r="X527" s="111"/>
    </row>
    <row r="528" spans="1:24" ht="25.5" hidden="1" outlineLevel="1">
      <c r="A528" s="60"/>
      <c r="B528" s="61"/>
      <c r="C528" s="62"/>
      <c r="D528" s="65"/>
      <c r="E528" s="44" t="s">
        <v>153</v>
      </c>
      <c r="F528" s="33">
        <v>1</v>
      </c>
      <c r="G528" s="42" t="s">
        <v>8</v>
      </c>
      <c r="H528" s="43">
        <v>2</v>
      </c>
      <c r="I528" s="43">
        <v>50</v>
      </c>
      <c r="J528" s="36">
        <f>IF(+I528+H528&gt;0,I528+(H528*labour),"")</f>
        <v>110</v>
      </c>
      <c r="K528" s="37">
        <f t="shared" si="47"/>
        <v>110</v>
      </c>
      <c r="L528" s="31"/>
      <c r="M528" s="72"/>
      <c r="N528" s="73"/>
      <c r="O528" s="74"/>
      <c r="P528" s="75"/>
      <c r="Q528" s="76"/>
      <c r="S528" s="113" t="s">
        <v>251</v>
      </c>
      <c r="T528" s="12"/>
      <c r="U528" s="12"/>
      <c r="V528" s="12"/>
      <c r="W528" s="19"/>
      <c r="X528" s="111" t="s">
        <v>272</v>
      </c>
    </row>
    <row r="529" spans="1:24" ht="12.75" hidden="1" outlineLevel="1">
      <c r="A529" s="60"/>
      <c r="B529" s="61"/>
      <c r="C529" s="62"/>
      <c r="D529" s="65"/>
      <c r="E529" s="44"/>
      <c r="F529" s="33"/>
      <c r="G529" s="42"/>
      <c r="H529" s="43"/>
      <c r="I529" s="43"/>
      <c r="J529" s="36">
        <f>IF(+I529+H529&gt;0,I529+(H529*labour),"")</f>
      </c>
      <c r="K529" s="37">
        <f t="shared" si="47"/>
      </c>
      <c r="L529" s="31"/>
      <c r="M529" s="72"/>
      <c r="N529" s="73"/>
      <c r="O529" s="74"/>
      <c r="P529" s="75"/>
      <c r="Q529" s="76"/>
      <c r="S529" s="110" t="s">
        <v>273</v>
      </c>
      <c r="T529" s="12"/>
      <c r="U529" s="12">
        <v>70</v>
      </c>
      <c r="V529" s="12">
        <v>1</v>
      </c>
      <c r="W529" s="19">
        <f>+U529/V529</f>
        <v>70</v>
      </c>
      <c r="X529" s="111"/>
    </row>
    <row r="530" spans="1:24" ht="12.75" hidden="1" outlineLevel="1">
      <c r="A530" s="60"/>
      <c r="B530" s="61"/>
      <c r="C530" s="62"/>
      <c r="D530" s="65"/>
      <c r="E530" s="44" t="s">
        <v>154</v>
      </c>
      <c r="F530" s="33">
        <v>1</v>
      </c>
      <c r="G530" s="42" t="s">
        <v>8</v>
      </c>
      <c r="H530" s="43"/>
      <c r="I530" s="43"/>
      <c r="J530" s="36">
        <f>+K198</f>
        <v>975.8925</v>
      </c>
      <c r="K530" s="37">
        <f t="shared" si="47"/>
        <v>975.8925</v>
      </c>
      <c r="L530" s="31"/>
      <c r="M530" s="72"/>
      <c r="N530" s="73"/>
      <c r="O530" s="74"/>
      <c r="P530" s="75"/>
      <c r="Q530" s="76"/>
      <c r="S530" s="110" t="s">
        <v>274</v>
      </c>
      <c r="T530" s="12"/>
      <c r="U530" s="12">
        <v>40</v>
      </c>
      <c r="V530" s="12">
        <v>5</v>
      </c>
      <c r="W530" s="19">
        <f>+U530/V530</f>
        <v>8</v>
      </c>
      <c r="X530" s="111" t="s">
        <v>272</v>
      </c>
    </row>
    <row r="531" spans="1:24" ht="12.75" hidden="1" outlineLevel="1">
      <c r="A531" s="60"/>
      <c r="B531" s="61"/>
      <c r="C531" s="62"/>
      <c r="D531" s="65"/>
      <c r="E531" s="44"/>
      <c r="F531" s="33"/>
      <c r="G531" s="42"/>
      <c r="H531" s="43"/>
      <c r="I531" s="43"/>
      <c r="J531" s="36"/>
      <c r="K531" s="37"/>
      <c r="L531" s="31"/>
      <c r="M531" s="72"/>
      <c r="N531" s="73"/>
      <c r="O531" s="74"/>
      <c r="P531" s="75"/>
      <c r="Q531" s="76"/>
      <c r="S531" s="110"/>
      <c r="T531" s="12"/>
      <c r="U531" s="12"/>
      <c r="V531" s="12"/>
      <c r="W531" s="19"/>
      <c r="X531" s="111"/>
    </row>
    <row r="532" spans="1:24" ht="12.75" hidden="1" outlineLevel="1">
      <c r="A532" s="60"/>
      <c r="B532" s="61"/>
      <c r="C532" s="62"/>
      <c r="D532" s="65"/>
      <c r="E532" s="38" t="s">
        <v>362</v>
      </c>
      <c r="F532" s="33">
        <v>10</v>
      </c>
      <c r="G532" s="34" t="s">
        <v>363</v>
      </c>
      <c r="H532" s="39"/>
      <c r="I532" s="39"/>
      <c r="J532" s="36">
        <f>SUM(K519:K531)</f>
        <v>2831.8445</v>
      </c>
      <c r="K532" s="37">
        <f>+J532*F532%</f>
        <v>283.18445</v>
      </c>
      <c r="L532" s="31"/>
      <c r="M532" s="72"/>
      <c r="N532" s="73"/>
      <c r="O532" s="74"/>
      <c r="P532" s="75"/>
      <c r="Q532" s="76"/>
      <c r="S532" s="110"/>
      <c r="T532" s="12"/>
      <c r="U532" s="12"/>
      <c r="V532" s="12"/>
      <c r="W532" s="19"/>
      <c r="X532" s="111"/>
    </row>
    <row r="533" spans="1:24" ht="12.75" hidden="1" outlineLevel="1">
      <c r="A533" s="60"/>
      <c r="B533" s="61"/>
      <c r="C533" s="62"/>
      <c r="D533" s="65"/>
      <c r="E533" s="44"/>
      <c r="F533" s="33"/>
      <c r="G533" s="42"/>
      <c r="H533" s="43"/>
      <c r="I533" s="43"/>
      <c r="J533" s="36"/>
      <c r="K533" s="37">
        <f t="shared" si="47"/>
      </c>
      <c r="L533" s="31"/>
      <c r="M533" s="72"/>
      <c r="N533" s="73"/>
      <c r="O533" s="74"/>
      <c r="P533" s="75"/>
      <c r="Q533" s="76"/>
      <c r="S533" s="110" t="s">
        <v>275</v>
      </c>
      <c r="T533" s="12"/>
      <c r="U533" s="12">
        <v>60</v>
      </c>
      <c r="V533" s="12">
        <v>5</v>
      </c>
      <c r="W533" s="19">
        <f>+U533/V533</f>
        <v>12</v>
      </c>
      <c r="X533" s="111"/>
    </row>
    <row r="534" spans="1:24" ht="12.75" collapsed="1">
      <c r="A534" s="60"/>
      <c r="B534" s="61"/>
      <c r="C534" s="62"/>
      <c r="D534" s="65"/>
      <c r="E534" s="44"/>
      <c r="F534" s="33"/>
      <c r="G534" s="42"/>
      <c r="H534" s="43"/>
      <c r="I534" s="43"/>
      <c r="J534" s="36">
        <f>IF(+I534+H534&gt;0,I534+(H534*labour),"")</f>
      </c>
      <c r="K534" s="37">
        <f t="shared" si="47"/>
      </c>
      <c r="L534" s="31"/>
      <c r="M534" s="72"/>
      <c r="N534" s="73"/>
      <c r="O534" s="74"/>
      <c r="P534" s="75"/>
      <c r="Q534" s="76"/>
      <c r="S534" s="110"/>
      <c r="T534" s="12"/>
      <c r="U534" s="12"/>
      <c r="V534" s="12"/>
      <c r="W534" s="19"/>
      <c r="X534" s="111"/>
    </row>
    <row r="535" spans="1:24" ht="12.75">
      <c r="A535" s="60"/>
      <c r="B535" s="61"/>
      <c r="C535" s="62"/>
      <c r="D535" s="65"/>
      <c r="E535" s="44"/>
      <c r="F535" s="33"/>
      <c r="G535" s="42"/>
      <c r="H535" s="43"/>
      <c r="I535" s="43"/>
      <c r="J535" s="36">
        <f>IF(+I535+H535&gt;0,I535+(H535*labour),"")</f>
      </c>
      <c r="K535" s="37">
        <f t="shared" si="47"/>
      </c>
      <c r="L535" s="31"/>
      <c r="M535" s="72"/>
      <c r="N535" s="73"/>
      <c r="O535" s="74"/>
      <c r="P535" s="75"/>
      <c r="Q535" s="76"/>
      <c r="S535" s="110"/>
      <c r="T535" s="12"/>
      <c r="U535" s="12"/>
      <c r="V535" s="12"/>
      <c r="W535" s="19"/>
      <c r="X535" s="111"/>
    </row>
    <row r="536" spans="1:24" ht="12.75">
      <c r="A536" s="60"/>
      <c r="B536" s="61"/>
      <c r="C536" s="62"/>
      <c r="D536" s="65"/>
      <c r="E536" s="77" t="s">
        <v>156</v>
      </c>
      <c r="F536" s="33"/>
      <c r="G536" s="42"/>
      <c r="H536" s="43"/>
      <c r="I536" s="43"/>
      <c r="J536" s="36">
        <f>IF(+I536+H536&gt;0,I536+(H536*labour),"")</f>
      </c>
      <c r="K536" s="53">
        <v>4800</v>
      </c>
      <c r="L536" s="31"/>
      <c r="M536" s="72"/>
      <c r="N536" s="73"/>
      <c r="O536" s="74"/>
      <c r="P536" s="75"/>
      <c r="Q536" s="76"/>
      <c r="S536" s="110"/>
      <c r="T536" s="12"/>
      <c r="U536" s="12"/>
      <c r="V536" s="12"/>
      <c r="W536" s="112">
        <f>SUM(W537:W539)</f>
        <v>310</v>
      </c>
      <c r="X536" s="111"/>
    </row>
    <row r="537" spans="1:24" ht="12.75" hidden="1" outlineLevel="1">
      <c r="A537" s="60"/>
      <c r="B537" s="61"/>
      <c r="C537" s="62"/>
      <c r="D537" s="65"/>
      <c r="E537" s="77"/>
      <c r="F537" s="33"/>
      <c r="G537" s="42"/>
      <c r="H537" s="43"/>
      <c r="I537" s="43"/>
      <c r="J537" s="36"/>
      <c r="K537" s="37"/>
      <c r="L537" s="31"/>
      <c r="M537" s="72"/>
      <c r="N537" s="73"/>
      <c r="O537" s="74"/>
      <c r="P537" s="75"/>
      <c r="Q537" s="76"/>
      <c r="S537" s="113" t="s">
        <v>257</v>
      </c>
      <c r="T537" s="114">
        <f>+K536</f>
        <v>4800</v>
      </c>
      <c r="U537" s="12"/>
      <c r="V537" s="12">
        <v>20</v>
      </c>
      <c r="W537" s="19">
        <f>+T537/V537</f>
        <v>240</v>
      </c>
      <c r="X537" s="111"/>
    </row>
    <row r="538" spans="1:24" ht="12.75" hidden="1" outlineLevel="1">
      <c r="A538" s="60"/>
      <c r="B538" s="61"/>
      <c r="C538" s="62"/>
      <c r="D538" s="65"/>
      <c r="E538" s="44" t="s">
        <v>158</v>
      </c>
      <c r="F538" s="33"/>
      <c r="G538" s="42"/>
      <c r="H538" s="43"/>
      <c r="I538" s="43"/>
      <c r="J538" s="36"/>
      <c r="K538" s="37"/>
      <c r="L538" s="31"/>
      <c r="M538" s="72"/>
      <c r="N538" s="73"/>
      <c r="O538" s="74"/>
      <c r="P538" s="75"/>
      <c r="Q538" s="76"/>
      <c r="S538" s="113" t="s">
        <v>251</v>
      </c>
      <c r="T538" s="12"/>
      <c r="U538" s="12"/>
      <c r="V538" s="12"/>
      <c r="W538" s="19"/>
      <c r="X538" s="111"/>
    </row>
    <row r="539" spans="1:24" ht="38.25" hidden="1" outlineLevel="1">
      <c r="A539" s="60"/>
      <c r="B539" s="61"/>
      <c r="C539" s="62"/>
      <c r="D539" s="65"/>
      <c r="E539" s="44"/>
      <c r="F539" s="33"/>
      <c r="G539" s="42"/>
      <c r="H539" s="43"/>
      <c r="I539" s="43"/>
      <c r="J539" s="36">
        <f>IF(+I539+H539&gt;0,I539+(H539*labour),"")</f>
      </c>
      <c r="K539" s="37">
        <f>+IF(F539="item",J539,IF(F539&lt;&gt;0,F539*J539,""))</f>
      </c>
      <c r="L539" s="69" t="s">
        <v>162</v>
      </c>
      <c r="M539" s="72"/>
      <c r="N539" s="73"/>
      <c r="O539" s="74"/>
      <c r="P539" s="75"/>
      <c r="Q539" s="76"/>
      <c r="S539" s="110" t="s">
        <v>276</v>
      </c>
      <c r="T539" s="12"/>
      <c r="U539" s="12">
        <v>70</v>
      </c>
      <c r="V539" s="12">
        <v>1</v>
      </c>
      <c r="W539" s="19">
        <f>+U539/V539</f>
        <v>70</v>
      </c>
      <c r="X539" s="111"/>
    </row>
    <row r="540" spans="1:24" ht="12.75" collapsed="1">
      <c r="A540" s="60"/>
      <c r="B540" s="61"/>
      <c r="C540" s="62"/>
      <c r="D540" s="65"/>
      <c r="E540" s="44"/>
      <c r="F540" s="33"/>
      <c r="G540" s="42"/>
      <c r="H540" s="43"/>
      <c r="I540" s="43"/>
      <c r="J540" s="36">
        <f>IF(+I540+H540&gt;0,I540+(H540*labour),"")</f>
      </c>
      <c r="K540" s="37">
        <f>+IF(F540="item",J540,IF(F540&lt;&gt;0,F540*J540,""))</f>
      </c>
      <c r="L540" s="31"/>
      <c r="M540" s="72"/>
      <c r="N540" s="73"/>
      <c r="O540" s="74"/>
      <c r="P540" s="75"/>
      <c r="Q540" s="76"/>
      <c r="S540" s="110"/>
      <c r="T540" s="12"/>
      <c r="U540" s="12"/>
      <c r="V540" s="12"/>
      <c r="W540" s="19"/>
      <c r="X540" s="111"/>
    </row>
    <row r="541" spans="1:24" ht="12.75">
      <c r="A541" s="60"/>
      <c r="B541" s="61"/>
      <c r="C541" s="62"/>
      <c r="D541" s="65"/>
      <c r="E541" s="44"/>
      <c r="F541" s="33"/>
      <c r="G541" s="42"/>
      <c r="H541" s="43"/>
      <c r="I541" s="43"/>
      <c r="J541" s="36"/>
      <c r="K541" s="37"/>
      <c r="L541" s="31"/>
      <c r="M541" s="72"/>
      <c r="N541" s="73"/>
      <c r="O541" s="74"/>
      <c r="P541" s="75"/>
      <c r="Q541" s="76"/>
      <c r="S541" s="110"/>
      <c r="T541" s="12"/>
      <c r="U541" s="12"/>
      <c r="V541" s="12"/>
      <c r="W541" s="19"/>
      <c r="X541" s="111"/>
    </row>
    <row r="542" spans="1:24" ht="12.75">
      <c r="A542" s="60"/>
      <c r="B542" s="61"/>
      <c r="C542" s="62"/>
      <c r="D542" s="65"/>
      <c r="E542" s="77" t="s">
        <v>161</v>
      </c>
      <c r="F542" s="33"/>
      <c r="G542" s="42"/>
      <c r="H542" s="43"/>
      <c r="I542" s="43"/>
      <c r="J542" s="36">
        <f aca="true" t="shared" si="48" ref="J542:J549">IF(+I542+H542&gt;0,I542+(H542*labour),"")</f>
      </c>
      <c r="K542" s="53">
        <v>18000</v>
      </c>
      <c r="L542" s="31" t="s">
        <v>159</v>
      </c>
      <c r="M542" s="72"/>
      <c r="N542" s="73"/>
      <c r="O542" s="74"/>
      <c r="P542" s="75"/>
      <c r="Q542" s="76"/>
      <c r="S542" s="110"/>
      <c r="T542" s="12"/>
      <c r="U542" s="12"/>
      <c r="V542" s="12"/>
      <c r="W542" s="112">
        <f>SUM(W543:W545)</f>
        <v>970</v>
      </c>
      <c r="X542" s="111"/>
    </row>
    <row r="543" spans="1:24" ht="12.75">
      <c r="A543" s="60"/>
      <c r="B543" s="61"/>
      <c r="C543" s="62"/>
      <c r="D543" s="65"/>
      <c r="E543" s="44"/>
      <c r="F543" s="33"/>
      <c r="G543" s="42"/>
      <c r="H543" s="43"/>
      <c r="I543" s="43"/>
      <c r="J543" s="36">
        <f t="shared" si="48"/>
      </c>
      <c r="K543" s="37">
        <f aca="true" t="shared" si="49" ref="K543:K548">+IF(F543="item",J543,IF(F543&lt;&gt;0,F543*J543,""))</f>
      </c>
      <c r="L543" s="31"/>
      <c r="M543" s="72"/>
      <c r="N543" s="73"/>
      <c r="O543" s="74"/>
      <c r="P543" s="75"/>
      <c r="Q543" s="76"/>
      <c r="S543" s="113" t="s">
        <v>257</v>
      </c>
      <c r="T543" s="114">
        <f>+K542</f>
        <v>18000</v>
      </c>
      <c r="U543" s="12"/>
      <c r="V543" s="12">
        <v>20</v>
      </c>
      <c r="W543" s="19">
        <f>+T543/V543</f>
        <v>900</v>
      </c>
      <c r="X543" s="111"/>
    </row>
    <row r="544" spans="1:24" ht="12.75" hidden="1" outlineLevel="1">
      <c r="A544" s="60"/>
      <c r="B544" s="61"/>
      <c r="C544" s="62"/>
      <c r="D544" s="65"/>
      <c r="E544" s="44" t="s">
        <v>158</v>
      </c>
      <c r="F544" s="33"/>
      <c r="G544" s="42"/>
      <c r="H544" s="43"/>
      <c r="I544" s="43"/>
      <c r="J544" s="36">
        <f t="shared" si="48"/>
      </c>
      <c r="K544" s="37">
        <f t="shared" si="49"/>
      </c>
      <c r="L544" s="31" t="s">
        <v>160</v>
      </c>
      <c r="M544" s="72"/>
      <c r="N544" s="73"/>
      <c r="O544" s="74"/>
      <c r="P544" s="75"/>
      <c r="Q544" s="76"/>
      <c r="S544" s="113" t="s">
        <v>251</v>
      </c>
      <c r="T544" s="12"/>
      <c r="U544" s="12"/>
      <c r="V544" s="12"/>
      <c r="W544" s="19"/>
      <c r="X544" s="111"/>
    </row>
    <row r="545" spans="1:24" ht="12.75" hidden="1" outlineLevel="1">
      <c r="A545" s="60"/>
      <c r="B545" s="61"/>
      <c r="C545" s="62"/>
      <c r="D545" s="65"/>
      <c r="E545" s="44"/>
      <c r="F545" s="33"/>
      <c r="G545" s="42"/>
      <c r="H545" s="43"/>
      <c r="I545" s="43"/>
      <c r="J545" s="36">
        <f t="shared" si="48"/>
      </c>
      <c r="K545" s="37">
        <f t="shared" si="49"/>
      </c>
      <c r="L545" s="31"/>
      <c r="M545" s="72"/>
      <c r="N545" s="73"/>
      <c r="O545" s="74"/>
      <c r="P545" s="75"/>
      <c r="Q545" s="76"/>
      <c r="S545" s="110" t="s">
        <v>276</v>
      </c>
      <c r="T545" s="12"/>
      <c r="U545" s="12">
        <v>70</v>
      </c>
      <c r="V545" s="12">
        <v>1</v>
      </c>
      <c r="W545" s="19">
        <f>+U545/V545</f>
        <v>70</v>
      </c>
      <c r="X545" s="111"/>
    </row>
    <row r="546" spans="1:24" ht="38.25" hidden="1" outlineLevel="1">
      <c r="A546" s="60"/>
      <c r="B546" s="61"/>
      <c r="C546" s="62"/>
      <c r="D546" s="65"/>
      <c r="E546" s="44"/>
      <c r="F546" s="33"/>
      <c r="G546" s="42"/>
      <c r="H546" s="43"/>
      <c r="I546" s="43"/>
      <c r="J546" s="36">
        <f t="shared" si="48"/>
      </c>
      <c r="K546" s="37">
        <f t="shared" si="49"/>
      </c>
      <c r="L546" s="69" t="s">
        <v>157</v>
      </c>
      <c r="M546" s="72"/>
      <c r="N546" s="73"/>
      <c r="O546" s="74"/>
      <c r="P546" s="75"/>
      <c r="Q546" s="76"/>
      <c r="S546" s="110"/>
      <c r="T546" s="12"/>
      <c r="U546" s="12"/>
      <c r="V546" s="12"/>
      <c r="W546" s="19"/>
      <c r="X546" s="111"/>
    </row>
    <row r="547" spans="1:24" ht="12.75" collapsed="1">
      <c r="A547" s="60"/>
      <c r="B547" s="61"/>
      <c r="C547" s="62"/>
      <c r="D547" s="65"/>
      <c r="E547" s="44"/>
      <c r="F547" s="33"/>
      <c r="G547" s="42"/>
      <c r="H547" s="43"/>
      <c r="I547" s="43"/>
      <c r="J547" s="36">
        <f t="shared" si="48"/>
      </c>
      <c r="K547" s="37">
        <f t="shared" si="49"/>
      </c>
      <c r="L547" s="31"/>
      <c r="M547" s="72"/>
      <c r="N547" s="73"/>
      <c r="O547" s="74"/>
      <c r="P547" s="75"/>
      <c r="Q547" s="76"/>
      <c r="S547" s="110"/>
      <c r="T547" s="12"/>
      <c r="U547" s="12"/>
      <c r="V547" s="12"/>
      <c r="W547" s="19"/>
      <c r="X547" s="111"/>
    </row>
    <row r="548" spans="1:24" ht="12.75">
      <c r="A548" s="60"/>
      <c r="B548" s="61"/>
      <c r="C548" s="62"/>
      <c r="D548" s="65"/>
      <c r="E548" s="44"/>
      <c r="F548" s="33"/>
      <c r="G548" s="42"/>
      <c r="H548" s="43"/>
      <c r="I548" s="43"/>
      <c r="J548" s="36">
        <f t="shared" si="48"/>
      </c>
      <c r="K548" s="37">
        <f t="shared" si="49"/>
      </c>
      <c r="L548" s="31"/>
      <c r="M548" s="72"/>
      <c r="N548" s="73"/>
      <c r="O548" s="74"/>
      <c r="P548" s="75"/>
      <c r="Q548" s="76"/>
      <c r="S548" s="110"/>
      <c r="T548" s="12"/>
      <c r="U548" s="12"/>
      <c r="V548" s="12"/>
      <c r="W548" s="19"/>
      <c r="X548" s="111"/>
    </row>
    <row r="549" spans="1:24" ht="38.25">
      <c r="A549" s="60"/>
      <c r="B549" s="61"/>
      <c r="C549" s="62"/>
      <c r="D549" s="65"/>
      <c r="E549" s="77" t="s">
        <v>163</v>
      </c>
      <c r="F549" s="33"/>
      <c r="G549" s="42"/>
      <c r="H549" s="43"/>
      <c r="I549" s="43"/>
      <c r="J549" s="36">
        <f t="shared" si="48"/>
      </c>
      <c r="K549" s="53">
        <f>SUM(K550:K557)</f>
        <v>8124.094</v>
      </c>
      <c r="L549" s="31"/>
      <c r="M549" s="72"/>
      <c r="N549" s="73"/>
      <c r="O549" s="74"/>
      <c r="P549" s="75"/>
      <c r="Q549" s="76"/>
      <c r="S549" s="110"/>
      <c r="T549" s="12"/>
      <c r="U549" s="12"/>
      <c r="V549" s="12"/>
      <c r="W549" s="19"/>
      <c r="X549" s="116" t="s">
        <v>264</v>
      </c>
    </row>
    <row r="550" spans="1:24" ht="12.75" hidden="1" outlineLevel="1">
      <c r="A550" s="60"/>
      <c r="B550" s="61"/>
      <c r="C550" s="62"/>
      <c r="D550" s="65"/>
      <c r="E550" s="44" t="s">
        <v>165</v>
      </c>
      <c r="F550" s="33">
        <v>1</v>
      </c>
      <c r="G550" s="42" t="s">
        <v>8</v>
      </c>
      <c r="H550" s="43"/>
      <c r="I550" s="43"/>
      <c r="J550" s="36">
        <v>6565.54</v>
      </c>
      <c r="K550" s="37">
        <f aca="true" t="shared" si="50" ref="K550:K557">+IF(F550="item",J550,IF(F550&lt;&gt;0,F550*J550,""))</f>
        <v>6565.54</v>
      </c>
      <c r="L550" s="31" t="s">
        <v>166</v>
      </c>
      <c r="M550" s="72"/>
      <c r="N550" s="73"/>
      <c r="O550" s="74"/>
      <c r="P550" s="75"/>
      <c r="Q550" s="76"/>
      <c r="S550" s="110"/>
      <c r="T550" s="12"/>
      <c r="U550" s="12"/>
      <c r="V550" s="12"/>
      <c r="W550" s="19"/>
      <c r="X550" s="111"/>
    </row>
    <row r="551" spans="1:24" ht="51" customHeight="1" hidden="1" outlineLevel="1">
      <c r="A551" s="60"/>
      <c r="B551" s="61"/>
      <c r="C551" s="62"/>
      <c r="D551" s="65"/>
      <c r="E551" s="44"/>
      <c r="F551" s="33"/>
      <c r="G551" s="42"/>
      <c r="H551" s="43"/>
      <c r="I551" s="43"/>
      <c r="J551" s="36">
        <f>IF(+I551+H551&gt;0,I551+(H551*labour),"")</f>
      </c>
      <c r="K551" s="37">
        <f t="shared" si="50"/>
      </c>
      <c r="L551" s="69" t="s">
        <v>164</v>
      </c>
      <c r="M551" s="72"/>
      <c r="N551" s="73"/>
      <c r="O551" s="74"/>
      <c r="P551" s="75"/>
      <c r="Q551" s="76"/>
      <c r="S551" s="110"/>
      <c r="T551" s="12"/>
      <c r="U551" s="12"/>
      <c r="V551" s="12"/>
      <c r="W551" s="19"/>
      <c r="X551" s="111"/>
    </row>
    <row r="552" spans="1:24" ht="12.75" hidden="1" outlineLevel="1">
      <c r="A552" s="60"/>
      <c r="B552" s="61"/>
      <c r="C552" s="62"/>
      <c r="D552" s="65"/>
      <c r="E552" s="44" t="s">
        <v>167</v>
      </c>
      <c r="F552" s="33" t="s">
        <v>1</v>
      </c>
      <c r="G552" s="42"/>
      <c r="H552" s="43">
        <v>24</v>
      </c>
      <c r="I552" s="43"/>
      <c r="J552" s="36">
        <f>IF(+I552+H552&gt;0,I552+(H552*labour),"")</f>
        <v>720</v>
      </c>
      <c r="K552" s="37">
        <f t="shared" si="50"/>
        <v>720</v>
      </c>
      <c r="L552" s="31" t="s">
        <v>168</v>
      </c>
      <c r="M552" s="72"/>
      <c r="N552" s="73"/>
      <c r="O552" s="74"/>
      <c r="P552" s="75"/>
      <c r="Q552" s="76"/>
      <c r="S552" s="110"/>
      <c r="T552" s="12"/>
      <c r="U552" s="12"/>
      <c r="V552" s="12"/>
      <c r="W552" s="19"/>
      <c r="X552" s="111"/>
    </row>
    <row r="553" spans="1:24" ht="12.75" hidden="1" outlineLevel="1">
      <c r="A553" s="60"/>
      <c r="B553" s="61"/>
      <c r="C553" s="62"/>
      <c r="D553" s="65"/>
      <c r="E553" s="44"/>
      <c r="F553" s="33"/>
      <c r="G553" s="42"/>
      <c r="H553" s="43"/>
      <c r="I553" s="43"/>
      <c r="J553" s="36">
        <f>IF(+I553+H553&gt;0,I553+(H553*labour),"")</f>
      </c>
      <c r="K553" s="37">
        <f t="shared" si="50"/>
      </c>
      <c r="L553" s="69" t="s">
        <v>169</v>
      </c>
      <c r="M553" s="72"/>
      <c r="N553" s="73"/>
      <c r="O553" s="74"/>
      <c r="P553" s="75"/>
      <c r="Q553" s="76"/>
      <c r="S553" s="110"/>
      <c r="T553" s="12"/>
      <c r="U553" s="12"/>
      <c r="V553" s="12"/>
      <c r="W553" s="19"/>
      <c r="X553" s="111"/>
    </row>
    <row r="554" spans="1:24" ht="12.75" hidden="1" outlineLevel="1">
      <c r="A554" s="60"/>
      <c r="B554" s="61"/>
      <c r="C554" s="62"/>
      <c r="D554" s="65"/>
      <c r="E554" s="44" t="s">
        <v>43</v>
      </c>
      <c r="F554" s="33" t="s">
        <v>1</v>
      </c>
      <c r="G554" s="42"/>
      <c r="H554" s="43"/>
      <c r="I554" s="43"/>
      <c r="J554" s="36">
        <v>100</v>
      </c>
      <c r="K554" s="37">
        <f t="shared" si="50"/>
        <v>100</v>
      </c>
      <c r="L554" s="31"/>
      <c r="M554" s="72"/>
      <c r="N554" s="73"/>
      <c r="O554" s="74"/>
      <c r="P554" s="75"/>
      <c r="Q554" s="76"/>
      <c r="S554" s="110"/>
      <c r="T554" s="12"/>
      <c r="U554" s="12"/>
      <c r="V554" s="12"/>
      <c r="W554" s="19"/>
      <c r="X554" s="111"/>
    </row>
    <row r="555" spans="1:24" ht="12.75" hidden="1" outlineLevel="1">
      <c r="A555" s="60"/>
      <c r="B555" s="61"/>
      <c r="C555" s="62"/>
      <c r="D555" s="65"/>
      <c r="E555" s="44"/>
      <c r="F555" s="33"/>
      <c r="G555" s="42"/>
      <c r="H555" s="43"/>
      <c r="I555" s="43"/>
      <c r="J555" s="36"/>
      <c r="K555" s="37"/>
      <c r="L555" s="31"/>
      <c r="M555" s="72"/>
      <c r="N555" s="73"/>
      <c r="O555" s="74"/>
      <c r="P555" s="75"/>
      <c r="Q555" s="76"/>
      <c r="S555" s="110"/>
      <c r="T555" s="12"/>
      <c r="U555" s="12"/>
      <c r="V555" s="12"/>
      <c r="W555" s="19"/>
      <c r="X555" s="111"/>
    </row>
    <row r="556" spans="1:24" ht="12.75" hidden="1" outlineLevel="1">
      <c r="A556" s="60"/>
      <c r="B556" s="61"/>
      <c r="C556" s="62"/>
      <c r="D556" s="65"/>
      <c r="E556" s="38" t="s">
        <v>362</v>
      </c>
      <c r="F556" s="33">
        <v>10</v>
      </c>
      <c r="G556" s="34" t="s">
        <v>363</v>
      </c>
      <c r="H556" s="39"/>
      <c r="I556" s="39"/>
      <c r="J556" s="36">
        <f>SUM(K550:K555)</f>
        <v>7385.54</v>
      </c>
      <c r="K556" s="37">
        <f>+J556*F556%</f>
        <v>738.5540000000001</v>
      </c>
      <c r="L556" s="31"/>
      <c r="M556" s="72"/>
      <c r="N556" s="73"/>
      <c r="O556" s="74"/>
      <c r="P556" s="75"/>
      <c r="Q556" s="76"/>
      <c r="S556" s="110"/>
      <c r="T556" s="12"/>
      <c r="U556" s="12"/>
      <c r="V556" s="12"/>
      <c r="W556" s="19"/>
      <c r="X556" s="111"/>
    </row>
    <row r="557" spans="1:24" ht="12.75" collapsed="1">
      <c r="A557" s="60"/>
      <c r="B557" s="61"/>
      <c r="C557" s="62"/>
      <c r="D557" s="65"/>
      <c r="E557" s="44"/>
      <c r="F557" s="33"/>
      <c r="G557" s="42"/>
      <c r="H557" s="43"/>
      <c r="I557" s="43"/>
      <c r="J557" s="36">
        <f>IF(+I557+H557&gt;0,I557+(H557*labour),"")</f>
      </c>
      <c r="K557" s="37">
        <f t="shared" si="50"/>
      </c>
      <c r="L557" s="31"/>
      <c r="M557" s="33"/>
      <c r="N557" s="42"/>
      <c r="O557" s="36"/>
      <c r="P557" s="37"/>
      <c r="Q557" s="54"/>
      <c r="S557" s="110"/>
      <c r="T557" s="12"/>
      <c r="U557" s="12"/>
      <c r="V557" s="12"/>
      <c r="W557" s="19"/>
      <c r="X557" s="111"/>
    </row>
    <row r="558" spans="1:24" ht="12.75">
      <c r="A558" s="60"/>
      <c r="B558" s="61"/>
      <c r="C558" s="62"/>
      <c r="D558" s="65"/>
      <c r="E558" s="77" t="s">
        <v>173</v>
      </c>
      <c r="F558" s="33"/>
      <c r="G558" s="42"/>
      <c r="H558" s="43"/>
      <c r="I558" s="43"/>
      <c r="J558" s="36"/>
      <c r="K558" s="53">
        <f>SUM(K559:K561)</f>
        <v>10000</v>
      </c>
      <c r="L558" s="31"/>
      <c r="M558" s="72"/>
      <c r="N558" s="73"/>
      <c r="O558" s="74"/>
      <c r="P558" s="75"/>
      <c r="Q558" s="76"/>
      <c r="S558" s="110"/>
      <c r="T558" s="12"/>
      <c r="U558" s="12"/>
      <c r="V558" s="12"/>
      <c r="W558" s="112">
        <f>SUM(W559:W561)</f>
        <v>500</v>
      </c>
      <c r="X558" s="111"/>
    </row>
    <row r="559" spans="1:24" ht="12.75">
      <c r="A559" s="60"/>
      <c r="B559" s="61"/>
      <c r="C559" s="62"/>
      <c r="D559" s="65"/>
      <c r="E559" s="77"/>
      <c r="F559" s="33"/>
      <c r="G559" s="42"/>
      <c r="H559" s="43"/>
      <c r="I559" s="43"/>
      <c r="J559" s="36"/>
      <c r="K559" s="37">
        <f>+IF(F559="item",J559,IF(F559&lt;&gt;0,F559*J559,""))</f>
      </c>
      <c r="L559" s="31"/>
      <c r="M559" s="72"/>
      <c r="N559" s="73"/>
      <c r="O559" s="74"/>
      <c r="P559" s="75"/>
      <c r="Q559" s="76"/>
      <c r="S559" s="113" t="s">
        <v>257</v>
      </c>
      <c r="T559" s="114">
        <f>+K558</f>
        <v>10000</v>
      </c>
      <c r="U559" s="12"/>
      <c r="V559" s="12">
        <v>20</v>
      </c>
      <c r="W559" s="19">
        <f>+T559/V559</f>
        <v>500</v>
      </c>
      <c r="X559" s="111"/>
    </row>
    <row r="560" spans="1:24" ht="12.75" hidden="1" outlineLevel="1">
      <c r="A560" s="60"/>
      <c r="B560" s="61"/>
      <c r="C560" s="62"/>
      <c r="D560" s="65"/>
      <c r="E560" s="44" t="s">
        <v>158</v>
      </c>
      <c r="F560" s="33">
        <v>1</v>
      </c>
      <c r="G560" s="42" t="s">
        <v>8</v>
      </c>
      <c r="H560" s="43"/>
      <c r="I560" s="43"/>
      <c r="J560" s="36">
        <v>10000</v>
      </c>
      <c r="K560" s="37">
        <f>+IF(F560="item",J560,IF(F560&lt;&gt;0,F560*J560,""))</f>
        <v>10000</v>
      </c>
      <c r="L560" s="31" t="s">
        <v>172</v>
      </c>
      <c r="M560" s="72"/>
      <c r="N560" s="73"/>
      <c r="O560" s="74"/>
      <c r="P560" s="75"/>
      <c r="Q560" s="76"/>
      <c r="S560" s="113" t="s">
        <v>251</v>
      </c>
      <c r="T560" s="12"/>
      <c r="U560" s="12"/>
      <c r="V560" s="12"/>
      <c r="W560" s="19"/>
      <c r="X560" s="111"/>
    </row>
    <row r="561" spans="1:24" ht="12.75" hidden="1" outlineLevel="1">
      <c r="A561" s="60"/>
      <c r="B561" s="61"/>
      <c r="C561" s="62"/>
      <c r="D561" s="65"/>
      <c r="E561" s="77"/>
      <c r="F561" s="33"/>
      <c r="G561" s="42"/>
      <c r="H561" s="43"/>
      <c r="I561" s="43"/>
      <c r="J561" s="36"/>
      <c r="K561" s="37">
        <f>+IF(F561="item",J561,IF(F561&lt;&gt;0,F561*J561,""))</f>
      </c>
      <c r="L561" s="31"/>
      <c r="M561" s="72"/>
      <c r="N561" s="73"/>
      <c r="O561" s="74"/>
      <c r="P561" s="75"/>
      <c r="Q561" s="76"/>
      <c r="S561" s="110" t="s">
        <v>277</v>
      </c>
      <c r="T561" s="12"/>
      <c r="U561" s="12" t="s">
        <v>269</v>
      </c>
      <c r="V561" s="12">
        <v>1</v>
      </c>
      <c r="W561" s="19"/>
      <c r="X561" s="111"/>
    </row>
    <row r="562" spans="1:24" ht="12.75" hidden="1" outlineLevel="1">
      <c r="A562" s="60"/>
      <c r="B562" s="61"/>
      <c r="C562" s="62"/>
      <c r="D562" s="65"/>
      <c r="E562" s="44"/>
      <c r="F562" s="33"/>
      <c r="G562" s="42"/>
      <c r="H562" s="43"/>
      <c r="I562" s="43"/>
      <c r="J562" s="36"/>
      <c r="K562" s="37"/>
      <c r="L562" s="31"/>
      <c r="M562" s="33"/>
      <c r="N562" s="42"/>
      <c r="O562" s="36"/>
      <c r="P562" s="37"/>
      <c r="Q562" s="54"/>
      <c r="S562" s="110" t="s">
        <v>270</v>
      </c>
      <c r="T562" s="12"/>
      <c r="U562" s="12" t="s">
        <v>269</v>
      </c>
      <c r="V562" s="12" t="s">
        <v>269</v>
      </c>
      <c r="W562" s="19"/>
      <c r="X562" s="111"/>
    </row>
    <row r="563" spans="1:24" ht="12.75" collapsed="1">
      <c r="A563" s="60"/>
      <c r="B563" s="61"/>
      <c r="C563" s="62"/>
      <c r="D563" s="65"/>
      <c r="E563" s="44"/>
      <c r="F563" s="33"/>
      <c r="G563" s="42"/>
      <c r="H563" s="43"/>
      <c r="I563" s="43"/>
      <c r="J563" s="36"/>
      <c r="K563" s="37"/>
      <c r="L563" s="31"/>
      <c r="M563" s="33"/>
      <c r="N563" s="42"/>
      <c r="O563" s="36"/>
      <c r="P563" s="37"/>
      <c r="Q563" s="54"/>
      <c r="S563" s="110" t="s">
        <v>278</v>
      </c>
      <c r="T563" s="12"/>
      <c r="U563" s="12" t="s">
        <v>269</v>
      </c>
      <c r="V563" s="12" t="s">
        <v>269</v>
      </c>
      <c r="W563" s="19"/>
      <c r="X563" s="111"/>
    </row>
    <row r="564" spans="1:24" ht="12.75">
      <c r="A564" s="60"/>
      <c r="B564" s="61"/>
      <c r="C564" s="62"/>
      <c r="D564" s="65"/>
      <c r="E564" s="44"/>
      <c r="F564" s="33"/>
      <c r="G564" s="42"/>
      <c r="H564" s="43"/>
      <c r="I564" s="43"/>
      <c r="J564" s="36"/>
      <c r="K564" s="37"/>
      <c r="L564" s="31"/>
      <c r="M564" s="33"/>
      <c r="N564" s="42"/>
      <c r="O564" s="36"/>
      <c r="P564" s="37"/>
      <c r="Q564" s="54"/>
      <c r="S564" s="110"/>
      <c r="T564" s="12"/>
      <c r="U564" s="12"/>
      <c r="V564" s="12"/>
      <c r="W564" s="19"/>
      <c r="X564" s="111"/>
    </row>
    <row r="565" spans="1:24" ht="12.75">
      <c r="A565" s="60"/>
      <c r="B565" s="61"/>
      <c r="C565" s="62"/>
      <c r="D565" s="65"/>
      <c r="E565" s="44"/>
      <c r="F565" s="33"/>
      <c r="G565" s="42"/>
      <c r="H565" s="43"/>
      <c r="I565" s="43"/>
      <c r="J565" s="36"/>
      <c r="K565" s="37"/>
      <c r="L565" s="31"/>
      <c r="M565" s="33"/>
      <c r="N565" s="42"/>
      <c r="O565" s="36"/>
      <c r="P565" s="37"/>
      <c r="Q565" s="54"/>
      <c r="S565" s="110"/>
      <c r="T565" s="12"/>
      <c r="U565" s="12"/>
      <c r="V565" s="12"/>
      <c r="W565" s="19"/>
      <c r="X565" s="111"/>
    </row>
    <row r="566" spans="1:24" ht="12.75">
      <c r="A566" s="60"/>
      <c r="B566" s="61"/>
      <c r="C566" s="62"/>
      <c r="D566" s="65"/>
      <c r="E566" s="44"/>
      <c r="F566" s="33"/>
      <c r="G566" s="42"/>
      <c r="H566" s="43"/>
      <c r="I566" s="43"/>
      <c r="J566" s="36"/>
      <c r="K566" s="37"/>
      <c r="L566" s="31"/>
      <c r="M566" s="33"/>
      <c r="N566" s="42"/>
      <c r="O566" s="36"/>
      <c r="P566" s="37"/>
      <c r="Q566" s="54"/>
      <c r="S566" s="110"/>
      <c r="T566" s="12"/>
      <c r="U566" s="12"/>
      <c r="V566" s="12"/>
      <c r="W566" s="19"/>
      <c r="X566" s="111"/>
    </row>
    <row r="567" spans="1:24" ht="12.75">
      <c r="A567" s="60"/>
      <c r="B567" s="61"/>
      <c r="C567" s="62"/>
      <c r="D567" s="65"/>
      <c r="E567" s="44"/>
      <c r="F567" s="33"/>
      <c r="G567" s="42"/>
      <c r="H567" s="43"/>
      <c r="I567" s="43"/>
      <c r="J567" s="36">
        <f>IF(+I567+H567&gt;0,I567+(H567*labour),"")</f>
      </c>
      <c r="K567" s="37">
        <f>+IF(F567="item",J567,IF(F567&lt;&gt;0,F567*J567,""))</f>
      </c>
      <c r="L567" s="31"/>
      <c r="M567" s="33"/>
      <c r="N567" s="42"/>
      <c r="O567" s="36"/>
      <c r="P567" s="37"/>
      <c r="Q567" s="54"/>
      <c r="S567" s="110"/>
      <c r="T567" s="12"/>
      <c r="U567" s="12"/>
      <c r="V567" s="12"/>
      <c r="W567" s="19"/>
      <c r="X567" s="111"/>
    </row>
    <row r="568" spans="1:24" ht="12.75">
      <c r="A568" s="60"/>
      <c r="B568" s="61"/>
      <c r="C568" s="62"/>
      <c r="D568" s="63"/>
      <c r="E568" s="46"/>
      <c r="F568" s="47"/>
      <c r="G568" s="48"/>
      <c r="H568" s="49"/>
      <c r="I568" s="49"/>
      <c r="J568" s="50"/>
      <c r="K568" s="51"/>
      <c r="L568" s="95"/>
      <c r="M568" s="16"/>
      <c r="N568" s="17"/>
      <c r="O568" s="23"/>
      <c r="P568" s="18"/>
      <c r="Q568" s="18"/>
      <c r="S568" s="123"/>
      <c r="T568" s="21"/>
      <c r="U568" s="21"/>
      <c r="V568" s="21"/>
      <c r="W568" s="20"/>
      <c r="X568" s="124"/>
    </row>
    <row r="569" spans="1:4" ht="12.75">
      <c r="A569" s="60"/>
      <c r="B569" s="61"/>
      <c r="C569" s="62"/>
      <c r="D569" s="63"/>
    </row>
    <row r="570" spans="1:4" ht="12.75">
      <c r="A570" s="60"/>
      <c r="B570" s="61"/>
      <c r="C570" s="62"/>
      <c r="D570" s="63"/>
    </row>
    <row r="571" spans="1:4" ht="12.75">
      <c r="A571" s="60"/>
      <c r="B571" s="61"/>
      <c r="C571" s="62"/>
      <c r="D571" s="63"/>
    </row>
    <row r="572" spans="1:4" ht="12.75">
      <c r="A572" s="60"/>
      <c r="B572" s="61"/>
      <c r="C572" s="62"/>
      <c r="D572" s="63"/>
    </row>
    <row r="573" spans="1:4" ht="12.75">
      <c r="A573" s="60"/>
      <c r="B573" s="61"/>
      <c r="C573" s="62"/>
      <c r="D573" s="63"/>
    </row>
    <row r="574" spans="1:4" ht="12.75">
      <c r="A574" s="60"/>
      <c r="B574" s="61"/>
      <c r="C574" s="62"/>
      <c r="D574" s="63"/>
    </row>
    <row r="575" spans="1:4" ht="12.75">
      <c r="A575" s="60"/>
      <c r="B575" s="61"/>
      <c r="C575" s="62"/>
      <c r="D575" s="63"/>
    </row>
    <row r="576" spans="1:4" ht="12.75">
      <c r="A576" s="60"/>
      <c r="B576" s="61"/>
      <c r="C576" s="62"/>
      <c r="D576" s="63"/>
    </row>
    <row r="577" spans="1:4" ht="12.75">
      <c r="A577" s="60"/>
      <c r="B577" s="61"/>
      <c r="C577" s="62"/>
      <c r="D577" s="63"/>
    </row>
    <row r="578" spans="1:4" ht="12.75">
      <c r="A578" s="60"/>
      <c r="B578" s="61"/>
      <c r="C578" s="62"/>
      <c r="D578" s="63"/>
    </row>
    <row r="579" spans="1:4" ht="12.75">
      <c r="A579" s="60"/>
      <c r="B579" s="61"/>
      <c r="C579" s="62"/>
      <c r="D579" s="63"/>
    </row>
    <row r="580" spans="1:4" ht="12.75">
      <c r="A580" s="60"/>
      <c r="B580" s="61"/>
      <c r="C580" s="62"/>
      <c r="D580" s="63"/>
    </row>
    <row r="581" spans="1:4" ht="12.75">
      <c r="A581" s="60"/>
      <c r="B581" s="61"/>
      <c r="C581" s="62"/>
      <c r="D581" s="63"/>
    </row>
    <row r="582" spans="1:4" ht="12.75">
      <c r="A582" s="60"/>
      <c r="B582" s="61"/>
      <c r="C582" s="62"/>
      <c r="D582" s="63"/>
    </row>
    <row r="583" spans="1:4" ht="12.75">
      <c r="A583" s="60"/>
      <c r="B583" s="61"/>
      <c r="C583" s="62"/>
      <c r="D583" s="63"/>
    </row>
    <row r="584" spans="1:4" ht="12.75">
      <c r="A584" s="60"/>
      <c r="B584" s="61"/>
      <c r="C584" s="62"/>
      <c r="D584" s="63"/>
    </row>
    <row r="585" spans="1:4" ht="12.75">
      <c r="A585" s="60"/>
      <c r="B585" s="61"/>
      <c r="C585" s="62"/>
      <c r="D585" s="63"/>
    </row>
    <row r="586" spans="1:4" ht="12.75">
      <c r="A586" s="60"/>
      <c r="B586" s="61"/>
      <c r="C586" s="62"/>
      <c r="D586" s="63"/>
    </row>
    <row r="587" spans="1:4" ht="12.75">
      <c r="A587" s="60"/>
      <c r="B587" s="61"/>
      <c r="C587" s="62"/>
      <c r="D587" s="63"/>
    </row>
    <row r="588" spans="1:4" ht="12.75">
      <c r="A588" s="60"/>
      <c r="B588" s="61"/>
      <c r="C588" s="62"/>
      <c r="D588" s="63"/>
    </row>
    <row r="589" spans="1:4" ht="12.75">
      <c r="A589" s="60"/>
      <c r="B589" s="61"/>
      <c r="C589" s="62"/>
      <c r="D589" s="63"/>
    </row>
    <row r="590" spans="1:4" ht="12.75">
      <c r="A590" s="60"/>
      <c r="B590" s="61"/>
      <c r="C590" s="62"/>
      <c r="D590" s="63"/>
    </row>
    <row r="591" spans="1:4" ht="12.75">
      <c r="A591" s="60"/>
      <c r="B591" s="61"/>
      <c r="C591" s="62"/>
      <c r="D591" s="63"/>
    </row>
    <row r="592" spans="1:4" ht="12.75">
      <c r="A592" s="60"/>
      <c r="B592" s="61"/>
      <c r="C592" s="62"/>
      <c r="D592" s="63"/>
    </row>
    <row r="593" spans="1:4" ht="12.75">
      <c r="A593" s="60"/>
      <c r="B593" s="61"/>
      <c r="C593" s="62"/>
      <c r="D593" s="63"/>
    </row>
    <row r="594" spans="1:4" ht="12.75">
      <c r="A594" s="60"/>
      <c r="B594" s="61"/>
      <c r="C594" s="62"/>
      <c r="D594" s="63"/>
    </row>
    <row r="595" spans="1:4" ht="12.75">
      <c r="A595" s="60"/>
      <c r="B595" s="61"/>
      <c r="C595" s="62"/>
      <c r="D595" s="63"/>
    </row>
    <row r="596" spans="1:4" ht="12.75">
      <c r="A596" s="60"/>
      <c r="B596" s="61"/>
      <c r="C596" s="62"/>
      <c r="D596" s="63"/>
    </row>
    <row r="597" spans="1:4" ht="12.75">
      <c r="A597" s="60"/>
      <c r="B597" s="61"/>
      <c r="C597" s="62"/>
      <c r="D597" s="63"/>
    </row>
    <row r="598" spans="1:4" ht="12.75">
      <c r="A598" s="60"/>
      <c r="B598" s="61"/>
      <c r="C598" s="62"/>
      <c r="D598" s="63"/>
    </row>
    <row r="599" spans="1:4" ht="12.75">
      <c r="A599" s="60"/>
      <c r="B599" s="61"/>
      <c r="C599" s="62"/>
      <c r="D599" s="63"/>
    </row>
    <row r="600" spans="1:4" ht="12.75">
      <c r="A600" s="60"/>
      <c r="B600" s="61"/>
      <c r="C600" s="62"/>
      <c r="D600" s="63"/>
    </row>
    <row r="601" spans="1:4" ht="12.75">
      <c r="A601" s="60"/>
      <c r="B601" s="61"/>
      <c r="C601" s="62"/>
      <c r="D601" s="63"/>
    </row>
    <row r="602" spans="1:4" ht="12.75">
      <c r="A602" s="60"/>
      <c r="B602" s="61"/>
      <c r="C602" s="62"/>
      <c r="D602" s="63"/>
    </row>
    <row r="603" spans="1:4" ht="12.75">
      <c r="A603" s="60"/>
      <c r="B603" s="61"/>
      <c r="C603" s="62"/>
      <c r="D603" s="63"/>
    </row>
    <row r="604" spans="1:4" ht="12.75">
      <c r="A604" s="60"/>
      <c r="B604" s="61"/>
      <c r="C604" s="62"/>
      <c r="D604" s="63"/>
    </row>
    <row r="605" spans="1:4" ht="12.75">
      <c r="A605" s="60"/>
      <c r="B605" s="61"/>
      <c r="C605" s="62"/>
      <c r="D605" s="63"/>
    </row>
    <row r="606" spans="1:4" ht="12.75">
      <c r="A606" s="60"/>
      <c r="B606" s="61"/>
      <c r="C606" s="62"/>
      <c r="D606" s="63"/>
    </row>
    <row r="607" spans="1:4" ht="12.75">
      <c r="A607" s="60"/>
      <c r="B607" s="61"/>
      <c r="C607" s="62"/>
      <c r="D607" s="63"/>
    </row>
    <row r="608" spans="1:4" ht="12.75">
      <c r="A608" s="60"/>
      <c r="B608" s="61"/>
      <c r="C608" s="62"/>
      <c r="D608" s="63"/>
    </row>
    <row r="609" spans="1:4" ht="12.75">
      <c r="A609" s="60"/>
      <c r="B609" s="61"/>
      <c r="C609" s="62"/>
      <c r="D609" s="63"/>
    </row>
    <row r="610" spans="1:4" ht="12.75">
      <c r="A610" s="60"/>
      <c r="B610" s="61"/>
      <c r="C610" s="62"/>
      <c r="D610" s="63"/>
    </row>
    <row r="611" spans="1:4" ht="12.75">
      <c r="A611" s="60"/>
      <c r="B611" s="61"/>
      <c r="C611" s="62"/>
      <c r="D611" s="63"/>
    </row>
    <row r="612" spans="1:4" ht="12.75">
      <c r="A612" s="60"/>
      <c r="B612" s="61"/>
      <c r="C612" s="62"/>
      <c r="D612" s="63"/>
    </row>
    <row r="613" spans="1:4" ht="12.75">
      <c r="A613" s="60"/>
      <c r="B613" s="61"/>
      <c r="C613" s="62"/>
      <c r="D613" s="63"/>
    </row>
    <row r="614" spans="1:4" ht="12.75">
      <c r="A614" s="60"/>
      <c r="B614" s="61"/>
      <c r="C614" s="62"/>
      <c r="D614" s="63"/>
    </row>
    <row r="615" spans="1:4" ht="12.75">
      <c r="A615" s="60"/>
      <c r="B615" s="61"/>
      <c r="C615" s="62"/>
      <c r="D615" s="63"/>
    </row>
    <row r="616" spans="1:4" ht="12.75">
      <c r="A616" s="60"/>
      <c r="B616" s="61"/>
      <c r="C616" s="62"/>
      <c r="D616" s="63"/>
    </row>
    <row r="617" spans="1:4" ht="12.75">
      <c r="A617" s="60"/>
      <c r="B617" s="61"/>
      <c r="C617" s="62"/>
      <c r="D617" s="63"/>
    </row>
    <row r="618" spans="1:4" ht="12.75">
      <c r="A618" s="60"/>
      <c r="B618" s="61"/>
      <c r="C618" s="62"/>
      <c r="D618" s="63"/>
    </row>
    <row r="619" spans="1:4" ht="12.75">
      <c r="A619" s="60"/>
      <c r="B619" s="61"/>
      <c r="C619" s="62"/>
      <c r="D619" s="63"/>
    </row>
    <row r="620" spans="1:4" ht="12.75">
      <c r="A620" s="60"/>
      <c r="B620" s="61"/>
      <c r="C620" s="62"/>
      <c r="D620" s="63"/>
    </row>
    <row r="621" spans="1:4" ht="12.75">
      <c r="A621" s="60"/>
      <c r="B621" s="61"/>
      <c r="C621" s="62"/>
      <c r="D621" s="63"/>
    </row>
    <row r="622" spans="1:4" ht="12.75">
      <c r="A622" s="60"/>
      <c r="B622" s="61"/>
      <c r="C622" s="62"/>
      <c r="D622" s="63"/>
    </row>
    <row r="623" spans="1:4" ht="12.75">
      <c r="A623" s="60"/>
      <c r="B623" s="61"/>
      <c r="C623" s="62"/>
      <c r="D623" s="63"/>
    </row>
    <row r="624" spans="1:4" ht="12.75">
      <c r="A624" s="60"/>
      <c r="B624" s="61"/>
      <c r="C624" s="62"/>
      <c r="D624" s="63"/>
    </row>
    <row r="625" spans="1:4" ht="12.75">
      <c r="A625" s="60"/>
      <c r="B625" s="61"/>
      <c r="C625" s="62"/>
      <c r="D625" s="63"/>
    </row>
    <row r="626" spans="1:4" ht="12.75">
      <c r="A626" s="60"/>
      <c r="B626" s="61"/>
      <c r="C626" s="62"/>
      <c r="D626" s="63"/>
    </row>
    <row r="627" spans="1:4" ht="12.75">
      <c r="A627" s="60"/>
      <c r="B627" s="61"/>
      <c r="C627" s="62"/>
      <c r="D627" s="63"/>
    </row>
    <row r="628" spans="1:4" ht="12.75">
      <c r="A628" s="60"/>
      <c r="B628" s="61"/>
      <c r="C628" s="62"/>
      <c r="D628" s="63"/>
    </row>
    <row r="629" spans="1:4" ht="12.75">
      <c r="A629" s="60"/>
      <c r="B629" s="61"/>
      <c r="C629" s="62"/>
      <c r="D629" s="63"/>
    </row>
    <row r="630" spans="1:4" ht="12.75">
      <c r="A630" s="60"/>
      <c r="B630" s="61"/>
      <c r="C630" s="62"/>
      <c r="D630" s="63"/>
    </row>
    <row r="631" spans="1:4" ht="12.75">
      <c r="A631" s="60"/>
      <c r="B631" s="61"/>
      <c r="C631" s="62"/>
      <c r="D631" s="63"/>
    </row>
    <row r="632" spans="1:4" ht="12.75">
      <c r="A632" s="60"/>
      <c r="B632" s="61"/>
      <c r="C632" s="62"/>
      <c r="D632" s="63"/>
    </row>
    <row r="633" spans="1:4" ht="12.75">
      <c r="A633" s="60"/>
      <c r="B633" s="61"/>
      <c r="C633" s="62"/>
      <c r="D633" s="63"/>
    </row>
    <row r="634" spans="1:4" ht="12.75">
      <c r="A634" s="60"/>
      <c r="B634" s="61"/>
      <c r="C634" s="62"/>
      <c r="D634" s="63"/>
    </row>
    <row r="635" spans="1:4" ht="12.75">
      <c r="A635" s="60"/>
      <c r="B635" s="61"/>
      <c r="C635" s="62"/>
      <c r="D635" s="63"/>
    </row>
    <row r="636" spans="1:4" ht="12.75">
      <c r="A636" s="60"/>
      <c r="B636" s="61"/>
      <c r="C636" s="62"/>
      <c r="D636" s="63"/>
    </row>
    <row r="637" spans="1:4" ht="12.75">
      <c r="A637" s="60"/>
      <c r="B637" s="61"/>
      <c r="C637" s="62"/>
      <c r="D637" s="63"/>
    </row>
    <row r="638" spans="1:4" ht="12.75">
      <c r="A638" s="60"/>
      <c r="B638" s="61"/>
      <c r="C638" s="62"/>
      <c r="D638" s="63"/>
    </row>
    <row r="639" spans="1:4" ht="12.75">
      <c r="A639" s="60"/>
      <c r="B639" s="61"/>
      <c r="C639" s="62"/>
      <c r="D639" s="63"/>
    </row>
    <row r="640" spans="1:4" ht="12.75">
      <c r="A640" s="60"/>
      <c r="B640" s="61"/>
      <c r="C640" s="62"/>
      <c r="D640" s="63"/>
    </row>
    <row r="641" spans="1:4" ht="12.75">
      <c r="A641" s="60"/>
      <c r="B641" s="61"/>
      <c r="C641" s="62"/>
      <c r="D641" s="63"/>
    </row>
    <row r="642" spans="1:4" ht="12.75">
      <c r="A642" s="60"/>
      <c r="B642" s="61"/>
      <c r="C642" s="62"/>
      <c r="D642" s="63"/>
    </row>
    <row r="643" spans="1:4" ht="12.75">
      <c r="A643" s="60"/>
      <c r="B643" s="61"/>
      <c r="C643" s="62"/>
      <c r="D643" s="63"/>
    </row>
    <row r="644" spans="1:4" ht="12.75">
      <c r="A644" s="60"/>
      <c r="B644" s="61"/>
      <c r="C644" s="62"/>
      <c r="D644" s="63"/>
    </row>
    <row r="645" spans="1:4" ht="12.75">
      <c r="A645" s="60"/>
      <c r="B645" s="61"/>
      <c r="C645" s="62"/>
      <c r="D645" s="63"/>
    </row>
    <row r="646" spans="1:4" ht="12.75">
      <c r="A646" s="60"/>
      <c r="B646" s="61"/>
      <c r="C646" s="62"/>
      <c r="D646" s="63"/>
    </row>
    <row r="647" spans="1:4" ht="12.75">
      <c r="A647" s="60"/>
      <c r="B647" s="61"/>
      <c r="C647" s="62"/>
      <c r="D647" s="63"/>
    </row>
    <row r="648" spans="1:4" ht="12.75">
      <c r="A648" s="60"/>
      <c r="B648" s="61"/>
      <c r="C648" s="62"/>
      <c r="D648" s="63"/>
    </row>
    <row r="649" spans="1:4" ht="12.75">
      <c r="A649" s="60"/>
      <c r="B649" s="61"/>
      <c r="C649" s="62"/>
      <c r="D649" s="63"/>
    </row>
    <row r="650" spans="1:4" ht="12.75">
      <c r="A650" s="60"/>
      <c r="B650" s="61"/>
      <c r="C650" s="62"/>
      <c r="D650" s="63"/>
    </row>
    <row r="651" spans="1:4" ht="12.75">
      <c r="A651" s="60"/>
      <c r="B651" s="61"/>
      <c r="C651" s="62"/>
      <c r="D651" s="63"/>
    </row>
    <row r="652" spans="1:4" ht="12.75">
      <c r="A652" s="60"/>
      <c r="B652" s="61"/>
      <c r="C652" s="62"/>
      <c r="D652" s="63"/>
    </row>
    <row r="653" spans="1:4" ht="12.75">
      <c r="A653" s="60"/>
      <c r="B653" s="61"/>
      <c r="C653" s="62"/>
      <c r="D653" s="63"/>
    </row>
    <row r="654" spans="1:4" ht="12.75">
      <c r="A654" s="60"/>
      <c r="B654" s="61"/>
      <c r="C654" s="62"/>
      <c r="D654" s="63"/>
    </row>
    <row r="655" spans="1:4" ht="12.75">
      <c r="A655" s="60"/>
      <c r="B655" s="61"/>
      <c r="C655" s="62"/>
      <c r="D655" s="63"/>
    </row>
    <row r="656" spans="1:4" ht="12.75">
      <c r="A656" s="60"/>
      <c r="B656" s="61"/>
      <c r="C656" s="62"/>
      <c r="D656" s="63"/>
    </row>
    <row r="657" spans="1:4" ht="12.75">
      <c r="A657" s="60"/>
      <c r="B657" s="61"/>
      <c r="C657" s="62"/>
      <c r="D657" s="63"/>
    </row>
    <row r="658" spans="1:4" ht="12.75">
      <c r="A658" s="60"/>
      <c r="B658" s="61"/>
      <c r="C658" s="62"/>
      <c r="D658" s="63"/>
    </row>
    <row r="659" spans="1:4" ht="12.75">
      <c r="A659" s="60"/>
      <c r="B659" s="61"/>
      <c r="C659" s="62"/>
      <c r="D659" s="63"/>
    </row>
    <row r="660" spans="1:4" ht="12.75">
      <c r="A660" s="60"/>
      <c r="B660" s="61"/>
      <c r="C660" s="62"/>
      <c r="D660" s="63"/>
    </row>
    <row r="661" spans="1:4" ht="12.75">
      <c r="A661" s="60"/>
      <c r="B661" s="61"/>
      <c r="C661" s="62"/>
      <c r="D661" s="63"/>
    </row>
    <row r="662" spans="1:4" ht="12.75">
      <c r="A662" s="60"/>
      <c r="B662" s="61"/>
      <c r="C662" s="62"/>
      <c r="D662" s="63"/>
    </row>
    <row r="663" spans="1:4" ht="12.75">
      <c r="A663" s="60"/>
      <c r="B663" s="61"/>
      <c r="C663" s="62"/>
      <c r="D663" s="63"/>
    </row>
    <row r="664" spans="1:4" ht="12.75">
      <c r="A664" s="60"/>
      <c r="B664" s="61"/>
      <c r="C664" s="62"/>
      <c r="D664" s="63"/>
    </row>
    <row r="665" spans="1:4" ht="12.75">
      <c r="A665" s="60"/>
      <c r="B665" s="61"/>
      <c r="C665" s="62"/>
      <c r="D665" s="63"/>
    </row>
    <row r="666" spans="1:4" ht="12.75">
      <c r="A666" s="60"/>
      <c r="B666" s="61"/>
      <c r="C666" s="62"/>
      <c r="D666" s="63"/>
    </row>
    <row r="667" spans="1:4" ht="12.75">
      <c r="A667" s="60"/>
      <c r="B667" s="61"/>
      <c r="C667" s="62"/>
      <c r="D667" s="63"/>
    </row>
    <row r="668" spans="1:4" ht="12.75">
      <c r="A668" s="60"/>
      <c r="B668" s="61"/>
      <c r="C668" s="62"/>
      <c r="D668" s="63"/>
    </row>
    <row r="669" spans="1:4" ht="12.75">
      <c r="A669" s="60"/>
      <c r="B669" s="61"/>
      <c r="C669" s="62"/>
      <c r="D669" s="63"/>
    </row>
    <row r="670" spans="1:4" ht="12.75">
      <c r="A670" s="60"/>
      <c r="B670" s="61"/>
      <c r="C670" s="62"/>
      <c r="D670" s="63"/>
    </row>
    <row r="671" spans="1:4" ht="12.75">
      <c r="A671" s="60"/>
      <c r="B671" s="61"/>
      <c r="C671" s="62"/>
      <c r="D671" s="63"/>
    </row>
    <row r="672" spans="1:4" ht="12.75">
      <c r="A672" s="60"/>
      <c r="B672" s="61"/>
      <c r="C672" s="62"/>
      <c r="D672" s="63"/>
    </row>
    <row r="673" spans="1:4" ht="12.75">
      <c r="A673" s="60"/>
      <c r="B673" s="61"/>
      <c r="C673" s="62"/>
      <c r="D673" s="63"/>
    </row>
    <row r="674" spans="1:4" ht="12.75">
      <c r="A674" s="60"/>
      <c r="B674" s="61"/>
      <c r="C674" s="62"/>
      <c r="D674" s="63"/>
    </row>
    <row r="675" spans="1:4" ht="12.75">
      <c r="A675" s="60"/>
      <c r="B675" s="61"/>
      <c r="C675" s="62"/>
      <c r="D675" s="63"/>
    </row>
    <row r="676" spans="1:4" ht="12.75">
      <c r="A676" s="60"/>
      <c r="B676" s="61"/>
      <c r="C676" s="62"/>
      <c r="D676" s="63"/>
    </row>
    <row r="677" spans="1:4" ht="12.75">
      <c r="A677" s="60"/>
      <c r="B677" s="61"/>
      <c r="C677" s="62"/>
      <c r="D677" s="63"/>
    </row>
    <row r="678" spans="1:4" ht="12.75">
      <c r="A678" s="60"/>
      <c r="B678" s="61"/>
      <c r="C678" s="62"/>
      <c r="D678" s="63"/>
    </row>
    <row r="679" spans="1:4" ht="12.75">
      <c r="A679" s="60"/>
      <c r="B679" s="61"/>
      <c r="C679" s="62"/>
      <c r="D679" s="63"/>
    </row>
    <row r="680" spans="1:4" ht="12.75">
      <c r="A680" s="60"/>
      <c r="B680" s="61"/>
      <c r="C680" s="62"/>
      <c r="D680" s="63"/>
    </row>
    <row r="681" spans="1:4" ht="12.75">
      <c r="A681" s="60"/>
      <c r="B681" s="61"/>
      <c r="C681" s="62"/>
      <c r="D681" s="63"/>
    </row>
    <row r="682" spans="1:4" ht="12.75">
      <c r="A682" s="60"/>
      <c r="B682" s="61"/>
      <c r="C682" s="62"/>
      <c r="D682" s="63"/>
    </row>
    <row r="683" spans="1:4" ht="12.75">
      <c r="A683" s="60"/>
      <c r="B683" s="61"/>
      <c r="C683" s="62"/>
      <c r="D683" s="63"/>
    </row>
    <row r="684" spans="1:4" ht="12.75">
      <c r="A684" s="60"/>
      <c r="B684" s="61"/>
      <c r="C684" s="62"/>
      <c r="D684" s="63"/>
    </row>
    <row r="685" spans="1:4" ht="12.75">
      <c r="A685" s="60"/>
      <c r="B685" s="61"/>
      <c r="C685" s="62"/>
      <c r="D685" s="63"/>
    </row>
    <row r="686" spans="1:4" ht="12.75">
      <c r="A686" s="60"/>
      <c r="B686" s="61"/>
      <c r="C686" s="62"/>
      <c r="D686" s="63"/>
    </row>
    <row r="687" spans="1:4" ht="12.75">
      <c r="A687" s="60"/>
      <c r="B687" s="61"/>
      <c r="C687" s="62"/>
      <c r="D687" s="63"/>
    </row>
    <row r="688" spans="1:4" ht="12.75">
      <c r="A688" s="60"/>
      <c r="B688" s="61"/>
      <c r="C688" s="62"/>
      <c r="D688" s="63"/>
    </row>
    <row r="689" spans="1:4" ht="12.75">
      <c r="A689" s="60"/>
      <c r="B689" s="61"/>
      <c r="C689" s="62"/>
      <c r="D689" s="63"/>
    </row>
    <row r="690" spans="1:4" ht="12.75">
      <c r="A690" s="60"/>
      <c r="B690" s="61"/>
      <c r="C690" s="62"/>
      <c r="D690" s="63"/>
    </row>
    <row r="691" spans="1:4" ht="12.75">
      <c r="A691" s="60"/>
      <c r="B691" s="61"/>
      <c r="C691" s="62"/>
      <c r="D691" s="63"/>
    </row>
    <row r="692" spans="1:4" ht="12.75">
      <c r="A692" s="60"/>
      <c r="B692" s="61"/>
      <c r="C692" s="62"/>
      <c r="D692" s="63"/>
    </row>
    <row r="693" spans="1:4" ht="12.75">
      <c r="A693" s="60"/>
      <c r="B693" s="61"/>
      <c r="C693" s="62"/>
      <c r="D693" s="63"/>
    </row>
    <row r="694" spans="1:4" ht="12.75">
      <c r="A694" s="60"/>
      <c r="B694" s="61"/>
      <c r="C694" s="62"/>
      <c r="D694" s="63"/>
    </row>
    <row r="695" spans="1:4" ht="12.75">
      <c r="A695" s="60"/>
      <c r="B695" s="61"/>
      <c r="C695" s="62"/>
      <c r="D695" s="63"/>
    </row>
    <row r="696" spans="1:4" ht="12.75">
      <c r="A696" s="60"/>
      <c r="B696" s="61"/>
      <c r="C696" s="62"/>
      <c r="D696" s="63"/>
    </row>
    <row r="697" spans="1:4" ht="12.75">
      <c r="A697" s="60"/>
      <c r="B697" s="61"/>
      <c r="C697" s="62"/>
      <c r="D697" s="63"/>
    </row>
    <row r="698" spans="1:4" ht="12.75">
      <c r="A698" s="60"/>
      <c r="B698" s="61"/>
      <c r="C698" s="62"/>
      <c r="D698" s="63"/>
    </row>
    <row r="699" spans="1:4" ht="12.75">
      <c r="A699" s="60"/>
      <c r="B699" s="61"/>
      <c r="C699" s="62"/>
      <c r="D699" s="63"/>
    </row>
    <row r="700" spans="1:4" ht="12.75">
      <c r="A700" s="60"/>
      <c r="B700" s="61"/>
      <c r="C700" s="62"/>
      <c r="D700" s="63"/>
    </row>
    <row r="701" spans="1:4" ht="12.75">
      <c r="A701" s="60"/>
      <c r="B701" s="61"/>
      <c r="C701" s="62"/>
      <c r="D701" s="63"/>
    </row>
    <row r="702" spans="1:4" ht="12.75">
      <c r="A702" s="60"/>
      <c r="B702" s="61"/>
      <c r="C702" s="62"/>
      <c r="D702" s="63"/>
    </row>
    <row r="703" spans="1:4" ht="12.75">
      <c r="A703" s="60"/>
      <c r="B703" s="61"/>
      <c r="C703" s="62"/>
      <c r="D703" s="63"/>
    </row>
    <row r="704" spans="1:4" ht="12.75">
      <c r="A704" s="60"/>
      <c r="B704" s="61"/>
      <c r="C704" s="62"/>
      <c r="D704" s="63"/>
    </row>
    <row r="705" spans="1:4" ht="12.75">
      <c r="A705" s="60"/>
      <c r="B705" s="61"/>
      <c r="C705" s="62"/>
      <c r="D705" s="63"/>
    </row>
    <row r="706" spans="1:4" ht="12.75">
      <c r="A706" s="60"/>
      <c r="B706" s="61"/>
      <c r="C706" s="62"/>
      <c r="D706" s="63"/>
    </row>
    <row r="707" spans="1:4" ht="12.75">
      <c r="A707" s="60"/>
      <c r="B707" s="61"/>
      <c r="C707" s="62"/>
      <c r="D707" s="63"/>
    </row>
    <row r="708" spans="1:4" ht="12.75">
      <c r="A708" s="60"/>
      <c r="B708" s="61"/>
      <c r="C708" s="62"/>
      <c r="D708" s="63"/>
    </row>
    <row r="709" spans="1:4" ht="12.75">
      <c r="A709" s="60"/>
      <c r="B709" s="61"/>
      <c r="C709" s="62"/>
      <c r="D709" s="63"/>
    </row>
    <row r="710" spans="1:4" ht="12.75">
      <c r="A710" s="60"/>
      <c r="B710" s="61"/>
      <c r="C710" s="62"/>
      <c r="D710" s="63"/>
    </row>
    <row r="711" spans="1:4" ht="12.75">
      <c r="A711" s="60"/>
      <c r="B711" s="61"/>
      <c r="C711" s="62"/>
      <c r="D711" s="63"/>
    </row>
    <row r="712" spans="1:4" ht="12.75">
      <c r="A712" s="60"/>
      <c r="B712" s="61"/>
      <c r="C712" s="62"/>
      <c r="D712" s="63"/>
    </row>
    <row r="713" spans="1:4" ht="12.75">
      <c r="A713" s="60"/>
      <c r="B713" s="61"/>
      <c r="C713" s="62"/>
      <c r="D713" s="63"/>
    </row>
    <row r="714" spans="1:4" ht="12.75">
      <c r="A714" s="60"/>
      <c r="B714" s="61"/>
      <c r="C714" s="62"/>
      <c r="D714" s="63"/>
    </row>
    <row r="715" spans="1:4" ht="12.75">
      <c r="A715" s="60"/>
      <c r="B715" s="61"/>
      <c r="C715" s="62"/>
      <c r="D715" s="63"/>
    </row>
    <row r="716" spans="1:4" ht="12.75">
      <c r="A716" s="60"/>
      <c r="B716" s="61"/>
      <c r="C716" s="62"/>
      <c r="D716" s="63"/>
    </row>
    <row r="717" spans="1:4" ht="12.75">
      <c r="A717" s="60"/>
      <c r="B717" s="61"/>
      <c r="C717" s="62"/>
      <c r="D717" s="63"/>
    </row>
    <row r="718" spans="1:4" ht="12.75">
      <c r="A718" s="60"/>
      <c r="B718" s="61"/>
      <c r="C718" s="62"/>
      <c r="D718" s="63"/>
    </row>
    <row r="719" spans="1:4" ht="12.75">
      <c r="A719" s="60"/>
      <c r="B719" s="61"/>
      <c r="C719" s="62"/>
      <c r="D719" s="63"/>
    </row>
    <row r="720" spans="1:4" ht="12.75">
      <c r="A720" s="60"/>
      <c r="B720" s="61"/>
      <c r="C720" s="62"/>
      <c r="D720" s="63"/>
    </row>
    <row r="721" spans="1:4" ht="12.75">
      <c r="A721" s="60"/>
      <c r="B721" s="61"/>
      <c r="C721" s="62"/>
      <c r="D721" s="63"/>
    </row>
    <row r="722" spans="1:4" ht="12.75">
      <c r="A722" s="60"/>
      <c r="B722" s="61"/>
      <c r="C722" s="62"/>
      <c r="D722" s="63"/>
    </row>
    <row r="723" spans="1:4" ht="12.75">
      <c r="A723" s="60"/>
      <c r="B723" s="61"/>
      <c r="C723" s="62"/>
      <c r="D723" s="63"/>
    </row>
    <row r="724" spans="1:4" ht="12.75">
      <c r="A724" s="60"/>
      <c r="B724" s="61"/>
      <c r="C724" s="62"/>
      <c r="D724" s="63"/>
    </row>
    <row r="725" spans="1:4" ht="12.75">
      <c r="A725" s="60"/>
      <c r="B725" s="61"/>
      <c r="C725" s="62"/>
      <c r="D725" s="63"/>
    </row>
    <row r="726" spans="1:4" ht="12.75">
      <c r="A726" s="60"/>
      <c r="B726" s="61"/>
      <c r="C726" s="62"/>
      <c r="D726" s="63"/>
    </row>
    <row r="727" spans="1:4" ht="12.75">
      <c r="A727" s="60"/>
      <c r="B727" s="61"/>
      <c r="C727" s="62"/>
      <c r="D727" s="63"/>
    </row>
    <row r="728" spans="1:4" ht="12.75">
      <c r="A728" s="60"/>
      <c r="B728" s="61"/>
      <c r="C728" s="62"/>
      <c r="D728" s="63"/>
    </row>
    <row r="729" spans="1:4" ht="12.75">
      <c r="A729" s="60"/>
      <c r="B729" s="61"/>
      <c r="C729" s="62"/>
      <c r="D729" s="63"/>
    </row>
    <row r="730" spans="1:4" ht="12.75">
      <c r="A730" s="60"/>
      <c r="B730" s="61"/>
      <c r="C730" s="62"/>
      <c r="D730" s="63"/>
    </row>
    <row r="731" spans="1:4" ht="12.75">
      <c r="A731" s="60"/>
      <c r="B731" s="61"/>
      <c r="C731" s="62"/>
      <c r="D731" s="63"/>
    </row>
    <row r="732" spans="1:4" ht="12.75">
      <c r="A732" s="60"/>
      <c r="B732" s="61"/>
      <c r="C732" s="62"/>
      <c r="D732" s="63"/>
    </row>
    <row r="733" spans="1:4" ht="12.75">
      <c r="A733" s="60"/>
      <c r="B733" s="61"/>
      <c r="C733" s="62"/>
      <c r="D733" s="63"/>
    </row>
    <row r="734" spans="1:4" ht="12.75">
      <c r="A734" s="60"/>
      <c r="B734" s="61"/>
      <c r="C734" s="62"/>
      <c r="D734" s="63"/>
    </row>
    <row r="735" spans="1:4" ht="12.75">
      <c r="A735" s="60"/>
      <c r="B735" s="61"/>
      <c r="C735" s="62"/>
      <c r="D735" s="63"/>
    </row>
    <row r="736" spans="1:4" ht="12.75">
      <c r="A736" s="60"/>
      <c r="B736" s="61"/>
      <c r="C736" s="62"/>
      <c r="D736" s="63"/>
    </row>
    <row r="737" spans="1:4" ht="12.75">
      <c r="A737" s="60"/>
      <c r="B737" s="61"/>
      <c r="C737" s="62"/>
      <c r="D737" s="63"/>
    </row>
    <row r="738" spans="1:4" ht="12.75">
      <c r="A738" s="60"/>
      <c r="B738" s="61"/>
      <c r="C738" s="62"/>
      <c r="D738" s="63"/>
    </row>
    <row r="739" spans="1:4" ht="12.75">
      <c r="A739" s="60"/>
      <c r="B739" s="61"/>
      <c r="C739" s="62"/>
      <c r="D739" s="63"/>
    </row>
    <row r="740" spans="1:4" ht="12.75">
      <c r="A740" s="60"/>
      <c r="B740" s="61"/>
      <c r="C740" s="62"/>
      <c r="D740" s="63"/>
    </row>
    <row r="741" spans="1:4" ht="12.75">
      <c r="A741" s="60"/>
      <c r="B741" s="61"/>
      <c r="C741" s="62"/>
      <c r="D741" s="63"/>
    </row>
    <row r="742" spans="1:4" ht="12.75">
      <c r="A742" s="60"/>
      <c r="B742" s="61"/>
      <c r="C742" s="62"/>
      <c r="D742" s="63"/>
    </row>
    <row r="743" spans="1:4" ht="12.75">
      <c r="A743" s="60"/>
      <c r="B743" s="61"/>
      <c r="C743" s="62"/>
      <c r="D743" s="63"/>
    </row>
    <row r="744" spans="1:4" ht="12.75">
      <c r="A744" s="60"/>
      <c r="B744" s="61"/>
      <c r="C744" s="62"/>
      <c r="D744" s="63"/>
    </row>
    <row r="745" spans="1:4" ht="12.75">
      <c r="A745" s="60"/>
      <c r="B745" s="61"/>
      <c r="C745" s="62"/>
      <c r="D745" s="63"/>
    </row>
    <row r="746" spans="1:4" ht="12.75">
      <c r="A746" s="60"/>
      <c r="B746" s="61"/>
      <c r="C746" s="62"/>
      <c r="D746" s="63"/>
    </row>
    <row r="747" spans="1:4" ht="12.75">
      <c r="A747" s="60"/>
      <c r="B747" s="61"/>
      <c r="C747" s="62"/>
      <c r="D747" s="63"/>
    </row>
    <row r="748" spans="1:4" ht="12.75">
      <c r="A748" s="60"/>
      <c r="B748" s="61"/>
      <c r="C748" s="62"/>
      <c r="D748" s="63"/>
    </row>
    <row r="749" spans="1:4" ht="12.75">
      <c r="A749" s="60"/>
      <c r="B749" s="61"/>
      <c r="C749" s="62"/>
      <c r="D749" s="63"/>
    </row>
    <row r="750" spans="1:4" ht="12.75">
      <c r="A750" s="60"/>
      <c r="B750" s="61"/>
      <c r="C750" s="62"/>
      <c r="D750" s="63"/>
    </row>
    <row r="751" spans="1:4" ht="12.75">
      <c r="A751" s="60"/>
      <c r="B751" s="61"/>
      <c r="C751" s="62"/>
      <c r="D751" s="63"/>
    </row>
    <row r="752" spans="1:4" ht="12.75">
      <c r="A752" s="60"/>
      <c r="B752" s="61"/>
      <c r="C752" s="62"/>
      <c r="D752" s="63"/>
    </row>
    <row r="753" spans="1:4" ht="12.75">
      <c r="A753" s="60"/>
      <c r="B753" s="61"/>
      <c r="C753" s="62"/>
      <c r="D753" s="63"/>
    </row>
    <row r="754" spans="1:4" ht="12.75">
      <c r="A754" s="60"/>
      <c r="B754" s="61"/>
      <c r="C754" s="62"/>
      <c r="D754" s="63"/>
    </row>
    <row r="755" spans="1:4" ht="12.75">
      <c r="A755" s="60"/>
      <c r="B755" s="61"/>
      <c r="C755" s="62"/>
      <c r="D755" s="63"/>
    </row>
    <row r="756" spans="1:4" ht="12.75">
      <c r="A756" s="60"/>
      <c r="B756" s="61"/>
      <c r="C756" s="62"/>
      <c r="D756" s="63"/>
    </row>
    <row r="757" spans="1:4" ht="12.75">
      <c r="A757" s="60"/>
      <c r="B757" s="61"/>
      <c r="C757" s="62"/>
      <c r="D757" s="63"/>
    </row>
    <row r="758" spans="1:4" ht="12.75">
      <c r="A758" s="60"/>
      <c r="B758" s="61"/>
      <c r="C758" s="62"/>
      <c r="D758" s="63"/>
    </row>
    <row r="759" spans="1:4" ht="12.75">
      <c r="A759" s="60"/>
      <c r="B759" s="61"/>
      <c r="C759" s="62"/>
      <c r="D759" s="63"/>
    </row>
    <row r="760" spans="1:4" ht="12.75">
      <c r="A760" s="60"/>
      <c r="B760" s="61"/>
      <c r="C760" s="62"/>
      <c r="D760" s="63"/>
    </row>
    <row r="761" spans="1:4" ht="12.75">
      <c r="A761" s="60"/>
      <c r="B761" s="61"/>
      <c r="C761" s="62"/>
      <c r="D761" s="63"/>
    </row>
    <row r="762" spans="1:4" ht="12.75">
      <c r="A762" s="60"/>
      <c r="B762" s="61"/>
      <c r="C762" s="62"/>
      <c r="D762" s="63"/>
    </row>
    <row r="763" spans="1:4" ht="12.75">
      <c r="A763" s="60"/>
      <c r="B763" s="61"/>
      <c r="C763" s="62"/>
      <c r="D763" s="63"/>
    </row>
    <row r="764" spans="1:4" ht="12.75">
      <c r="A764" s="60"/>
      <c r="B764" s="61"/>
      <c r="C764" s="62"/>
      <c r="D764" s="63"/>
    </row>
    <row r="765" spans="1:4" ht="12.75">
      <c r="A765" s="60"/>
      <c r="B765" s="61"/>
      <c r="C765" s="62"/>
      <c r="D765" s="63"/>
    </row>
    <row r="766" spans="1:4" ht="12.75">
      <c r="A766" s="60"/>
      <c r="B766" s="61"/>
      <c r="C766" s="62"/>
      <c r="D766" s="63"/>
    </row>
    <row r="767" spans="1:4" ht="12.75">
      <c r="A767" s="60"/>
      <c r="B767" s="61"/>
      <c r="C767" s="62"/>
      <c r="D767" s="63"/>
    </row>
    <row r="768" spans="1:4" ht="12.75">
      <c r="A768" s="60"/>
      <c r="B768" s="61"/>
      <c r="C768" s="62"/>
      <c r="D768" s="63"/>
    </row>
    <row r="769" spans="1:4" ht="12.75">
      <c r="A769" s="60"/>
      <c r="B769" s="61"/>
      <c r="C769" s="62"/>
      <c r="D769" s="63"/>
    </row>
    <row r="770" spans="1:4" ht="12.75">
      <c r="A770" s="60"/>
      <c r="B770" s="61"/>
      <c r="C770" s="62"/>
      <c r="D770" s="63"/>
    </row>
    <row r="771" spans="1:4" ht="12.75">
      <c r="A771" s="60"/>
      <c r="B771" s="61"/>
      <c r="C771" s="62"/>
      <c r="D771" s="63"/>
    </row>
    <row r="772" spans="1:4" ht="12.75">
      <c r="A772" s="60"/>
      <c r="B772" s="61"/>
      <c r="C772" s="62"/>
      <c r="D772" s="63"/>
    </row>
    <row r="773" spans="1:4" ht="12.75">
      <c r="A773" s="60"/>
      <c r="B773" s="61"/>
      <c r="C773" s="62"/>
      <c r="D773" s="63"/>
    </row>
    <row r="774" spans="1:4" ht="12.75">
      <c r="A774" s="60"/>
      <c r="B774" s="61"/>
      <c r="C774" s="62"/>
      <c r="D774" s="63"/>
    </row>
    <row r="775" spans="1:4" ht="12.75">
      <c r="A775" s="60"/>
      <c r="B775" s="61"/>
      <c r="C775" s="62"/>
      <c r="D775" s="63"/>
    </row>
    <row r="776" spans="1:4" ht="12.75">
      <c r="A776" s="60"/>
      <c r="B776" s="61"/>
      <c r="C776" s="62"/>
      <c r="D776" s="63"/>
    </row>
    <row r="777" spans="1:4" ht="12.75">
      <c r="A777" s="60"/>
      <c r="B777" s="61"/>
      <c r="C777" s="62"/>
      <c r="D777" s="63"/>
    </row>
    <row r="778" spans="1:4" ht="12.75">
      <c r="A778" s="60"/>
      <c r="B778" s="61"/>
      <c r="C778" s="62"/>
      <c r="D778" s="63"/>
    </row>
    <row r="779" spans="1:4" ht="12.75">
      <c r="A779" s="60"/>
      <c r="B779" s="61"/>
      <c r="C779" s="62"/>
      <c r="D779" s="63"/>
    </row>
    <row r="780" spans="1:4" ht="12.75">
      <c r="A780" s="60"/>
      <c r="B780" s="61"/>
      <c r="C780" s="62"/>
      <c r="D780" s="63"/>
    </row>
    <row r="781" spans="1:4" ht="12.75">
      <c r="A781" s="60"/>
      <c r="B781" s="61"/>
      <c r="C781" s="62"/>
      <c r="D781" s="63"/>
    </row>
    <row r="782" spans="1:4" ht="12.75">
      <c r="A782" s="60"/>
      <c r="B782" s="61"/>
      <c r="C782" s="62"/>
      <c r="D782" s="63"/>
    </row>
    <row r="783" spans="1:4" ht="12.75">
      <c r="A783" s="60"/>
      <c r="B783" s="61"/>
      <c r="C783" s="62"/>
      <c r="D783" s="63"/>
    </row>
    <row r="784" spans="1:4" ht="12.75">
      <c r="A784" s="60"/>
      <c r="B784" s="61"/>
      <c r="C784" s="62"/>
      <c r="D784" s="63"/>
    </row>
    <row r="785" spans="1:4" ht="12.75">
      <c r="A785" s="60"/>
      <c r="B785" s="61"/>
      <c r="C785" s="62"/>
      <c r="D785" s="63"/>
    </row>
    <row r="786" spans="1:4" ht="12.75">
      <c r="A786" s="60"/>
      <c r="B786" s="61"/>
      <c r="C786" s="62"/>
      <c r="D786" s="63"/>
    </row>
    <row r="787" spans="1:4" ht="12.75">
      <c r="A787" s="60"/>
      <c r="B787" s="61"/>
      <c r="C787" s="62"/>
      <c r="D787" s="63"/>
    </row>
    <row r="788" spans="1:4" ht="12.75">
      <c r="A788" s="60"/>
      <c r="B788" s="61"/>
      <c r="C788" s="62"/>
      <c r="D788" s="63"/>
    </row>
    <row r="789" spans="1:4" ht="12.75">
      <c r="A789" s="60"/>
      <c r="B789" s="61"/>
      <c r="C789" s="62"/>
      <c r="D789" s="63"/>
    </row>
    <row r="790" spans="1:4" ht="12.75">
      <c r="A790" s="60"/>
      <c r="B790" s="61"/>
      <c r="C790" s="62"/>
      <c r="D790" s="63"/>
    </row>
    <row r="791" spans="1:4" ht="12.75">
      <c r="A791" s="60"/>
      <c r="B791" s="61"/>
      <c r="C791" s="62"/>
      <c r="D791" s="63"/>
    </row>
    <row r="792" spans="1:4" ht="12.75">
      <c r="A792" s="60"/>
      <c r="B792" s="61"/>
      <c r="C792" s="62"/>
      <c r="D792" s="63"/>
    </row>
    <row r="793" spans="1:4" ht="12.75">
      <c r="A793" s="60"/>
      <c r="B793" s="61"/>
      <c r="C793" s="62"/>
      <c r="D793" s="63"/>
    </row>
    <row r="794" spans="1:4" ht="12.75">
      <c r="A794" s="60"/>
      <c r="B794" s="61"/>
      <c r="C794" s="62"/>
      <c r="D794" s="63"/>
    </row>
    <row r="795" spans="1:4" ht="12.75">
      <c r="A795" s="60"/>
      <c r="B795" s="61"/>
      <c r="C795" s="62"/>
      <c r="D795" s="63"/>
    </row>
    <row r="796" spans="1:4" ht="12.75">
      <c r="A796" s="60"/>
      <c r="B796" s="61"/>
      <c r="C796" s="62"/>
      <c r="D796" s="63"/>
    </row>
    <row r="797" spans="1:4" ht="12.75">
      <c r="A797" s="60"/>
      <c r="B797" s="61"/>
      <c r="C797" s="62"/>
      <c r="D797" s="63"/>
    </row>
    <row r="798" spans="1:4" ht="12.75">
      <c r="A798" s="60"/>
      <c r="B798" s="61"/>
      <c r="C798" s="62"/>
      <c r="D798" s="63"/>
    </row>
    <row r="799" spans="1:4" ht="12.75">
      <c r="A799" s="60"/>
      <c r="B799" s="61"/>
      <c r="C799" s="62"/>
      <c r="D799" s="63"/>
    </row>
    <row r="800" spans="1:4" ht="12.75">
      <c r="A800" s="60"/>
      <c r="B800" s="61"/>
      <c r="C800" s="62"/>
      <c r="D800" s="63"/>
    </row>
    <row r="801" spans="1:4" ht="12.75">
      <c r="A801" s="60"/>
      <c r="B801" s="61"/>
      <c r="C801" s="62"/>
      <c r="D801" s="63"/>
    </row>
    <row r="802" spans="1:4" ht="12.75">
      <c r="A802" s="60"/>
      <c r="B802" s="61"/>
      <c r="C802" s="62"/>
      <c r="D802" s="63"/>
    </row>
    <row r="803" spans="1:4" ht="12.75">
      <c r="A803" s="60"/>
      <c r="B803" s="61"/>
      <c r="C803" s="62"/>
      <c r="D803" s="63"/>
    </row>
    <row r="804" spans="1:4" ht="12.75">
      <c r="A804" s="60"/>
      <c r="B804" s="61"/>
      <c r="C804" s="62"/>
      <c r="D804" s="63"/>
    </row>
    <row r="805" spans="1:4" ht="12.75">
      <c r="A805" s="60"/>
      <c r="B805" s="61"/>
      <c r="C805" s="62"/>
      <c r="D805" s="63"/>
    </row>
    <row r="806" spans="1:4" ht="12.75">
      <c r="A806" s="60"/>
      <c r="B806" s="61"/>
      <c r="C806" s="62"/>
      <c r="D806" s="63"/>
    </row>
    <row r="807" spans="1:4" ht="12.75">
      <c r="A807" s="60"/>
      <c r="B807" s="61"/>
      <c r="C807" s="62"/>
      <c r="D807" s="63"/>
    </row>
    <row r="808" spans="1:4" ht="12.75">
      <c r="A808" s="60"/>
      <c r="B808" s="61"/>
      <c r="C808" s="62"/>
      <c r="D808" s="63"/>
    </row>
    <row r="809" spans="1:4" ht="12.75">
      <c r="A809" s="60"/>
      <c r="B809" s="61"/>
      <c r="C809" s="62"/>
      <c r="D809" s="63"/>
    </row>
    <row r="810" spans="1:4" ht="12.75">
      <c r="A810" s="60"/>
      <c r="B810" s="61"/>
      <c r="C810" s="62"/>
      <c r="D810" s="63"/>
    </row>
    <row r="811" spans="1:4" ht="12.75">
      <c r="A811" s="60"/>
      <c r="B811" s="61"/>
      <c r="C811" s="62"/>
      <c r="D811" s="63"/>
    </row>
    <row r="812" spans="1:4" ht="12.75">
      <c r="A812" s="60"/>
      <c r="B812" s="61"/>
      <c r="C812" s="62"/>
      <c r="D812" s="63"/>
    </row>
    <row r="813" spans="1:4" ht="12.75">
      <c r="A813" s="60"/>
      <c r="B813" s="61"/>
      <c r="C813" s="62"/>
      <c r="D813" s="63"/>
    </row>
    <row r="814" spans="1:4" ht="12.75">
      <c r="A814" s="60"/>
      <c r="B814" s="61"/>
      <c r="C814" s="62"/>
      <c r="D814" s="63"/>
    </row>
    <row r="815" spans="1:4" ht="12.75">
      <c r="A815" s="60"/>
      <c r="B815" s="61"/>
      <c r="C815" s="62"/>
      <c r="D815" s="63"/>
    </row>
    <row r="816" spans="1:4" ht="12.75">
      <c r="A816" s="60"/>
      <c r="B816" s="61"/>
      <c r="C816" s="62"/>
      <c r="D816" s="63"/>
    </row>
    <row r="817" spans="1:4" ht="12.75">
      <c r="A817" s="60"/>
      <c r="B817" s="61"/>
      <c r="C817" s="62"/>
      <c r="D817" s="63"/>
    </row>
    <row r="818" spans="1:4" ht="12.75">
      <c r="A818" s="60"/>
      <c r="B818" s="61"/>
      <c r="C818" s="62"/>
      <c r="D818" s="63"/>
    </row>
    <row r="819" spans="1:4" ht="12.75">
      <c r="A819" s="60"/>
      <c r="B819" s="61"/>
      <c r="C819" s="62"/>
      <c r="D819" s="63"/>
    </row>
    <row r="820" spans="1:4" ht="12.75">
      <c r="A820" s="60"/>
      <c r="B820" s="61"/>
      <c r="C820" s="62"/>
      <c r="D820" s="63"/>
    </row>
    <row r="821" spans="1:4" ht="12.75">
      <c r="A821" s="60"/>
      <c r="B821" s="61"/>
      <c r="C821" s="62"/>
      <c r="D821" s="63"/>
    </row>
    <row r="822" spans="1:4" ht="12.75">
      <c r="A822" s="60"/>
      <c r="B822" s="61"/>
      <c r="C822" s="62"/>
      <c r="D822" s="63"/>
    </row>
    <row r="823" spans="1:4" ht="12.75">
      <c r="A823" s="60"/>
      <c r="B823" s="61"/>
      <c r="C823" s="62"/>
      <c r="D823" s="63"/>
    </row>
    <row r="824" spans="1:4" ht="12.75">
      <c r="A824" s="60"/>
      <c r="B824" s="61"/>
      <c r="C824" s="62"/>
      <c r="D824" s="63"/>
    </row>
    <row r="825" spans="1:4" ht="12.75">
      <c r="A825" s="60"/>
      <c r="B825" s="61"/>
      <c r="C825" s="62"/>
      <c r="D825" s="63"/>
    </row>
    <row r="826" spans="1:4" ht="12.75">
      <c r="A826" s="60"/>
      <c r="B826" s="61"/>
      <c r="C826" s="62"/>
      <c r="D826" s="63"/>
    </row>
    <row r="827" spans="1:4" ht="12.75">
      <c r="A827" s="60"/>
      <c r="B827" s="61"/>
      <c r="C827" s="62"/>
      <c r="D827" s="63"/>
    </row>
    <row r="828" spans="1:4" ht="12.75">
      <c r="A828" s="60"/>
      <c r="B828" s="61"/>
      <c r="C828" s="62"/>
      <c r="D828" s="63"/>
    </row>
    <row r="829" spans="1:4" ht="12.75">
      <c r="A829" s="60"/>
      <c r="B829" s="61"/>
      <c r="C829" s="62"/>
      <c r="D829" s="63"/>
    </row>
    <row r="830" spans="1:4" ht="12.75">
      <c r="A830" s="60"/>
      <c r="B830" s="61"/>
      <c r="C830" s="62"/>
      <c r="D830" s="63"/>
    </row>
    <row r="831" spans="1:4" ht="12.75">
      <c r="A831" s="60"/>
      <c r="B831" s="61"/>
      <c r="C831" s="62"/>
      <c r="D831" s="63"/>
    </row>
    <row r="832" spans="1:4" ht="12.75">
      <c r="A832" s="60"/>
      <c r="B832" s="61"/>
      <c r="C832" s="62"/>
      <c r="D832" s="63"/>
    </row>
    <row r="833" spans="1:4" ht="12.75">
      <c r="A833" s="60"/>
      <c r="B833" s="61"/>
      <c r="C833" s="62"/>
      <c r="D833" s="63"/>
    </row>
    <row r="834" spans="1:4" ht="12.75">
      <c r="A834" s="60"/>
      <c r="B834" s="61"/>
      <c r="C834" s="62"/>
      <c r="D834" s="63"/>
    </row>
    <row r="835" spans="1:4" ht="12.75">
      <c r="A835" s="60"/>
      <c r="B835" s="61"/>
      <c r="C835" s="62"/>
      <c r="D835" s="63"/>
    </row>
    <row r="836" spans="1:4" ht="12.75">
      <c r="A836" s="60"/>
      <c r="B836" s="61"/>
      <c r="C836" s="62"/>
      <c r="D836" s="63"/>
    </row>
    <row r="837" spans="1:4" ht="12.75">
      <c r="A837" s="60"/>
      <c r="B837" s="61"/>
      <c r="C837" s="62"/>
      <c r="D837" s="63"/>
    </row>
    <row r="838" spans="1:4" ht="12.75">
      <c r="A838" s="60"/>
      <c r="B838" s="61"/>
      <c r="C838" s="62"/>
      <c r="D838" s="63"/>
    </row>
    <row r="839" spans="1:4" ht="12.75">
      <c r="A839" s="60"/>
      <c r="B839" s="61"/>
      <c r="C839" s="62"/>
      <c r="D839" s="63"/>
    </row>
    <row r="840" spans="1:4" ht="12.75">
      <c r="A840" s="60"/>
      <c r="B840" s="61"/>
      <c r="C840" s="62"/>
      <c r="D840" s="63"/>
    </row>
    <row r="841" spans="1:4" ht="12.75">
      <c r="A841" s="60"/>
      <c r="B841" s="61"/>
      <c r="C841" s="62"/>
      <c r="D841" s="63"/>
    </row>
    <row r="842" spans="1:4" ht="12.75">
      <c r="A842" s="60"/>
      <c r="B842" s="61"/>
      <c r="C842" s="62"/>
      <c r="D842" s="63"/>
    </row>
    <row r="843" spans="1:4" ht="12.75">
      <c r="A843" s="60"/>
      <c r="B843" s="61"/>
      <c r="C843" s="62"/>
      <c r="D843" s="63"/>
    </row>
    <row r="844" spans="1:4" ht="12.75">
      <c r="A844" s="60"/>
      <c r="B844" s="61"/>
      <c r="C844" s="62"/>
      <c r="D844" s="63"/>
    </row>
    <row r="845" spans="1:4" ht="12.75">
      <c r="A845" s="60"/>
      <c r="B845" s="61"/>
      <c r="C845" s="62"/>
      <c r="D845" s="63"/>
    </row>
    <row r="846" spans="1:4" ht="12.75">
      <c r="A846" s="60"/>
      <c r="B846" s="61"/>
      <c r="C846" s="62"/>
      <c r="D846" s="63"/>
    </row>
    <row r="847" spans="1:4" ht="12.75">
      <c r="A847" s="60"/>
      <c r="B847" s="61"/>
      <c r="C847" s="62"/>
      <c r="D847" s="63"/>
    </row>
    <row r="848" spans="1:4" ht="12.75">
      <c r="A848" s="60"/>
      <c r="B848" s="61"/>
      <c r="C848" s="62"/>
      <c r="D848" s="63"/>
    </row>
    <row r="849" spans="1:4" ht="12.75">
      <c r="A849" s="60"/>
      <c r="B849" s="61"/>
      <c r="C849" s="62"/>
      <c r="D849" s="63"/>
    </row>
    <row r="850" spans="1:4" ht="12.75">
      <c r="A850" s="60"/>
      <c r="B850" s="61"/>
      <c r="C850" s="62"/>
      <c r="D850" s="63"/>
    </row>
    <row r="851" spans="1:4" ht="12.75">
      <c r="A851" s="60"/>
      <c r="B851" s="61"/>
      <c r="C851" s="62"/>
      <c r="D851" s="63"/>
    </row>
    <row r="852" spans="1:4" ht="12.75">
      <c r="A852" s="60"/>
      <c r="B852" s="61"/>
      <c r="C852" s="62"/>
      <c r="D852" s="63"/>
    </row>
    <row r="853" spans="1:4" ht="12.75">
      <c r="A853" s="60"/>
      <c r="B853" s="61"/>
      <c r="C853" s="62"/>
      <c r="D853" s="63"/>
    </row>
    <row r="854" spans="1:4" ht="12.75">
      <c r="A854" s="60"/>
      <c r="B854" s="61"/>
      <c r="C854" s="62"/>
      <c r="D854" s="63"/>
    </row>
    <row r="855" spans="1:4" ht="12.75">
      <c r="A855" s="60"/>
      <c r="B855" s="61"/>
      <c r="C855" s="62"/>
      <c r="D855" s="63"/>
    </row>
  </sheetData>
  <mergeCells count="7">
    <mergeCell ref="S8:X8"/>
    <mergeCell ref="F8:Q8"/>
    <mergeCell ref="M9:Q9"/>
    <mergeCell ref="F10:G10"/>
    <mergeCell ref="F9:L9"/>
    <mergeCell ref="M10:N10"/>
    <mergeCell ref="S9:X9"/>
  </mergeCells>
  <hyperlinks>
    <hyperlink ref="L118" r:id="rId1" display="http://www.blinds-supermarket.co.uk/ourProducts/product_details.aspx?product_id=1530&amp;width=200&amp;drop=174"/>
  </hyperlinks>
  <printOptions/>
  <pageMargins left="0.65" right="0.51" top="1" bottom="1" header="0.5" footer="0.5"/>
  <pageSetup fitToHeight="0" fitToWidth="1" horizontalDpi="300" verticalDpi="300" orientation="portrait" paperSize="9" scale="21" r:id="rId4"/>
  <headerFooter alignWithMargins="0">
    <oddFooter>&amp;L
&amp;"Arial,Italic"Bare, Leaning and Bare
Chartered Quantity Surveyors&amp;RPage &amp;P of &amp;N</oddFooter>
  </headerFooter>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Z758"/>
  <sheetViews>
    <sheetView view="pageBreakPreview" zoomScale="90" zoomScaleNormal="75" zoomScaleSheetLayoutView="90" workbookViewId="0" topLeftCell="A4">
      <pane xSplit="5" ySplit="7" topLeftCell="F240" activePane="bottomRight" state="frozen"/>
      <selection pane="topLeft" activeCell="A4" sqref="A4"/>
      <selection pane="topRight" activeCell="F4" sqref="F4"/>
      <selection pane="bottomLeft" activeCell="A9" sqref="A9"/>
      <selection pane="bottomRight" activeCell="E278" sqref="E278"/>
    </sheetView>
  </sheetViews>
  <sheetFormatPr defaultColWidth="9.140625" defaultRowHeight="12.75" outlineLevelRow="1" outlineLevelCol="1"/>
  <cols>
    <col min="1" max="1" width="4.00390625" style="67" customWidth="1" outlineLevel="1"/>
    <col min="2" max="2" width="6.00390625" style="67" customWidth="1" outlineLevel="1"/>
    <col min="3" max="3" width="6.140625" style="7" customWidth="1" outlineLevel="1"/>
    <col min="4" max="4" width="6.7109375" style="68" customWidth="1" outlineLevel="1"/>
    <col min="5" max="5" width="40.57421875" style="8" customWidth="1"/>
    <col min="6" max="6" width="6.140625" style="5" customWidth="1"/>
    <col min="7" max="7" width="4.7109375" style="6" customWidth="1"/>
    <col min="8" max="8" width="7.140625" style="6" customWidth="1" outlineLevel="1"/>
    <col min="9" max="9" width="8.57421875" style="6" customWidth="1" outlineLevel="1"/>
    <col min="10" max="10" width="9.8515625" style="7" customWidth="1"/>
    <col min="11" max="11" width="10.57421875" style="7" customWidth="1"/>
    <col min="12" max="12" width="29.00390625" style="91" customWidth="1"/>
    <col min="13" max="13" width="6.140625" style="5" customWidth="1"/>
    <col min="14" max="14" width="4.7109375" style="6" customWidth="1"/>
    <col min="15" max="15" width="9.8515625" style="7" customWidth="1"/>
    <col min="16" max="16" width="10.57421875" style="7" customWidth="1"/>
    <col min="17" max="17" width="29.00390625" style="7" customWidth="1"/>
    <col min="18" max="18" width="0.9921875" style="6" customWidth="1"/>
    <col min="19" max="19" width="35.421875" style="6" customWidth="1"/>
    <col min="20" max="21" width="9.421875" style="6" customWidth="1"/>
    <col min="22" max="22" width="7.421875" style="6" customWidth="1"/>
    <col min="23" max="23" width="11.8515625" style="7" customWidth="1"/>
    <col min="24" max="24" width="27.421875" style="6" customWidth="1"/>
    <col min="25" max="16384" width="9.140625" style="6" customWidth="1"/>
  </cols>
  <sheetData>
    <row r="1" spans="1:5" ht="12.75">
      <c r="A1" s="1"/>
      <c r="B1" s="2"/>
      <c r="C1" s="2"/>
      <c r="D1" s="3"/>
      <c r="E1" s="4" t="s">
        <v>5</v>
      </c>
    </row>
    <row r="2" spans="1:4" ht="12.75">
      <c r="A2" s="1"/>
      <c r="B2" s="2"/>
      <c r="C2" s="2"/>
      <c r="D2" s="3"/>
    </row>
    <row r="3" spans="1:17" ht="12.75">
      <c r="A3" s="1"/>
      <c r="B3" s="2"/>
      <c r="C3" s="2"/>
      <c r="D3" s="3"/>
      <c r="E3" s="9" t="s">
        <v>3</v>
      </c>
      <c r="K3" s="25"/>
      <c r="L3" s="92"/>
      <c r="P3" s="25"/>
      <c r="Q3" s="25"/>
    </row>
    <row r="4" spans="1:17" ht="18.75">
      <c r="A4" s="1"/>
      <c r="B4" s="2"/>
      <c r="C4" s="2"/>
      <c r="D4" s="3"/>
      <c r="E4" s="134" t="s">
        <v>303</v>
      </c>
      <c r="K4" s="25"/>
      <c r="L4" s="92"/>
      <c r="P4" s="25"/>
      <c r="Q4" s="25"/>
    </row>
    <row r="5" spans="1:17" ht="12.75">
      <c r="A5" s="1"/>
      <c r="B5" s="2"/>
      <c r="C5" s="2"/>
      <c r="D5" s="3"/>
      <c r="E5" s="9"/>
      <c r="K5" s="25"/>
      <c r="L5" s="92"/>
      <c r="P5" s="25"/>
      <c r="Q5" s="25"/>
    </row>
    <row r="6" spans="1:17" ht="37.5">
      <c r="A6" s="1"/>
      <c r="B6" s="2"/>
      <c r="C6" s="2"/>
      <c r="D6" s="3"/>
      <c r="E6" s="125" t="s">
        <v>387</v>
      </c>
      <c r="K6" s="10"/>
      <c r="L6" s="93"/>
      <c r="P6" s="10"/>
      <c r="Q6" s="10"/>
    </row>
    <row r="7" spans="1:17" ht="12.75">
      <c r="A7" s="1"/>
      <c r="B7" s="2"/>
      <c r="C7" s="2"/>
      <c r="D7" s="3"/>
      <c r="E7" s="6"/>
      <c r="K7" s="10"/>
      <c r="L7" s="93"/>
      <c r="P7" s="10"/>
      <c r="Q7" s="10"/>
    </row>
    <row r="8" spans="1:24" ht="24.75" customHeight="1">
      <c r="A8" s="1"/>
      <c r="B8" s="2"/>
      <c r="C8" s="2"/>
      <c r="D8" s="3"/>
      <c r="E8" s="9"/>
      <c r="F8" s="174" t="s">
        <v>170</v>
      </c>
      <c r="G8" s="175"/>
      <c r="H8" s="175"/>
      <c r="I8" s="175"/>
      <c r="J8" s="175"/>
      <c r="K8" s="175"/>
      <c r="L8" s="175"/>
      <c r="M8" s="175"/>
      <c r="N8" s="175"/>
      <c r="O8" s="175"/>
      <c r="P8" s="175"/>
      <c r="Q8" s="176"/>
      <c r="S8" s="171" t="s">
        <v>252</v>
      </c>
      <c r="T8" s="172"/>
      <c r="U8" s="172"/>
      <c r="V8" s="172"/>
      <c r="W8" s="172"/>
      <c r="X8" s="173"/>
    </row>
    <row r="9" spans="1:24" ht="28.5" customHeight="1">
      <c r="A9" s="1"/>
      <c r="B9" s="2"/>
      <c r="C9" s="2"/>
      <c r="D9" s="3"/>
      <c r="E9" s="9"/>
      <c r="F9" s="182" t="s">
        <v>11</v>
      </c>
      <c r="G9" s="183"/>
      <c r="H9" s="183"/>
      <c r="I9" s="183"/>
      <c r="J9" s="183"/>
      <c r="K9" s="183"/>
      <c r="L9" s="184"/>
      <c r="M9" s="177" t="s">
        <v>12</v>
      </c>
      <c r="N9" s="178"/>
      <c r="O9" s="178"/>
      <c r="P9" s="178"/>
      <c r="Q9" s="179"/>
      <c r="S9" s="187" t="s">
        <v>11</v>
      </c>
      <c r="T9" s="188"/>
      <c r="U9" s="188"/>
      <c r="V9" s="188"/>
      <c r="W9" s="188"/>
      <c r="X9" s="189"/>
    </row>
    <row r="10" spans="1:26" ht="51" customHeight="1">
      <c r="A10" s="56"/>
      <c r="B10" s="57"/>
      <c r="C10" s="58"/>
      <c r="D10" s="59"/>
      <c r="E10" s="88" t="s">
        <v>1</v>
      </c>
      <c r="F10" s="180" t="s">
        <v>0</v>
      </c>
      <c r="G10" s="181"/>
      <c r="H10" s="26" t="s">
        <v>13</v>
      </c>
      <c r="I10" s="26" t="s">
        <v>14</v>
      </c>
      <c r="J10" s="22" t="s">
        <v>9</v>
      </c>
      <c r="K10" s="11" t="s">
        <v>2</v>
      </c>
      <c r="L10" s="28" t="s">
        <v>10</v>
      </c>
      <c r="M10" s="185" t="s">
        <v>0</v>
      </c>
      <c r="N10" s="186"/>
      <c r="O10" s="29" t="s">
        <v>9</v>
      </c>
      <c r="P10" s="28" t="s">
        <v>2</v>
      </c>
      <c r="Q10" s="28" t="s">
        <v>10</v>
      </c>
      <c r="R10" s="12"/>
      <c r="S10" s="104" t="s">
        <v>1</v>
      </c>
      <c r="T10" s="105" t="s">
        <v>253</v>
      </c>
      <c r="U10" s="105" t="s">
        <v>254</v>
      </c>
      <c r="V10" s="105" t="s">
        <v>256</v>
      </c>
      <c r="W10" s="22" t="s">
        <v>255</v>
      </c>
      <c r="X10" s="106" t="s">
        <v>10</v>
      </c>
      <c r="Y10" s="12"/>
      <c r="Z10" s="12"/>
    </row>
    <row r="11" spans="1:24" ht="12.75">
      <c r="A11" s="60"/>
      <c r="B11" s="61"/>
      <c r="C11" s="62"/>
      <c r="D11" s="63"/>
      <c r="E11" s="13"/>
      <c r="F11" s="14"/>
      <c r="G11" s="24"/>
      <c r="H11" s="27"/>
      <c r="I11" s="27"/>
      <c r="J11" s="19"/>
      <c r="K11" s="15"/>
      <c r="L11" s="94"/>
      <c r="M11" s="14"/>
      <c r="N11" s="24"/>
      <c r="O11" s="19"/>
      <c r="P11" s="15"/>
      <c r="Q11" s="30"/>
      <c r="S11" s="107"/>
      <c r="T11" s="108"/>
      <c r="U11" s="108"/>
      <c r="V11" s="108"/>
      <c r="W11" s="109"/>
      <c r="X11" s="24"/>
    </row>
    <row r="12" spans="1:24" ht="12.75">
      <c r="A12" s="60"/>
      <c r="B12" s="61"/>
      <c r="C12" s="64"/>
      <c r="D12" s="63"/>
      <c r="E12" s="38"/>
      <c r="F12" s="33"/>
      <c r="G12" s="34"/>
      <c r="H12" s="39"/>
      <c r="I12" s="39"/>
      <c r="J12" s="36">
        <f>IF(+I12+H12&gt;0,I12+(H12*labour),"")</f>
      </c>
      <c r="K12" s="37">
        <f>+IF(F12="item",J12,IF(F12&lt;&gt;0,F12*J12,""))</f>
      </c>
      <c r="L12" s="31"/>
      <c r="M12" s="33"/>
      <c r="N12" s="34"/>
      <c r="O12" s="36"/>
      <c r="P12" s="37">
        <f>+IF(M12="item",O12,IF(M12&lt;&gt;0,M12*O12,""))</f>
      </c>
      <c r="Q12" s="54"/>
      <c r="S12" s="110"/>
      <c r="T12" s="12"/>
      <c r="U12" s="12"/>
      <c r="V12" s="12"/>
      <c r="W12" s="19"/>
      <c r="X12" s="111"/>
    </row>
    <row r="13" spans="1:24" ht="15.75">
      <c r="A13" s="60"/>
      <c r="B13" s="61"/>
      <c r="C13" s="86"/>
      <c r="D13" s="87"/>
      <c r="E13" s="78" t="s">
        <v>83</v>
      </c>
      <c r="F13" s="79"/>
      <c r="G13" s="80"/>
      <c r="H13" s="81"/>
      <c r="I13" s="81"/>
      <c r="J13" s="82"/>
      <c r="K13" s="83"/>
      <c r="L13" s="84"/>
      <c r="M13" s="79"/>
      <c r="N13" s="80"/>
      <c r="O13" s="82"/>
      <c r="P13" s="83"/>
      <c r="Q13" s="85"/>
      <c r="S13" s="110"/>
      <c r="T13" s="12"/>
      <c r="U13" s="12"/>
      <c r="V13" s="12"/>
      <c r="W13" s="19"/>
      <c r="X13" s="111"/>
    </row>
    <row r="14" spans="1:24" ht="12.75">
      <c r="A14" s="60"/>
      <c r="B14" s="61"/>
      <c r="C14" s="64"/>
      <c r="D14" s="63"/>
      <c r="E14" s="38"/>
      <c r="F14" s="33"/>
      <c r="G14" s="34"/>
      <c r="H14" s="39"/>
      <c r="I14" s="39"/>
      <c r="J14" s="36"/>
      <c r="K14" s="37"/>
      <c r="L14" s="31"/>
      <c r="M14" s="33"/>
      <c r="N14" s="34"/>
      <c r="O14" s="36"/>
      <c r="P14" s="37"/>
      <c r="Q14" s="54"/>
      <c r="S14" s="110"/>
      <c r="T14" s="12"/>
      <c r="U14" s="12"/>
      <c r="V14" s="12"/>
      <c r="W14" s="19"/>
      <c r="X14" s="111"/>
    </row>
    <row r="15" spans="1:24" ht="12.75">
      <c r="A15" s="60"/>
      <c r="B15" s="61"/>
      <c r="C15" s="64"/>
      <c r="D15" s="63"/>
      <c r="E15" s="38"/>
      <c r="F15" s="33"/>
      <c r="G15" s="34"/>
      <c r="H15" s="39"/>
      <c r="I15" s="39"/>
      <c r="J15" s="36"/>
      <c r="K15" s="37"/>
      <c r="L15" s="31"/>
      <c r="M15" s="33"/>
      <c r="N15" s="34"/>
      <c r="O15" s="36"/>
      <c r="P15" s="37"/>
      <c r="Q15" s="54"/>
      <c r="S15" s="110"/>
      <c r="T15" s="12"/>
      <c r="U15" s="12"/>
      <c r="V15" s="12"/>
      <c r="W15" s="19"/>
      <c r="X15" s="111"/>
    </row>
    <row r="16" spans="1:24" ht="25.5" customHeight="1">
      <c r="A16" s="60"/>
      <c r="B16" s="61"/>
      <c r="C16" s="64"/>
      <c r="D16" s="63"/>
      <c r="E16" s="32" t="s">
        <v>84</v>
      </c>
      <c r="F16" s="33"/>
      <c r="G16" s="34"/>
      <c r="H16" s="39"/>
      <c r="I16" s="39"/>
      <c r="J16" s="36"/>
      <c r="K16" s="53">
        <f>SUM(K18:K36)</f>
        <v>925.7402</v>
      </c>
      <c r="L16" s="31" t="s">
        <v>44</v>
      </c>
      <c r="M16" s="33"/>
      <c r="N16" s="34"/>
      <c r="O16" s="36"/>
      <c r="P16" s="53">
        <f>SUM(P18:P36)</f>
        <v>546.882</v>
      </c>
      <c r="Q16" s="54"/>
      <c r="S16" s="110"/>
      <c r="T16" s="12"/>
      <c r="U16" s="12"/>
      <c r="V16" s="12"/>
      <c r="W16" s="112">
        <f>SUM(W18:W36)</f>
        <v>14.35</v>
      </c>
      <c r="X16" s="111"/>
    </row>
    <row r="17" spans="1:24" ht="12.75" hidden="1" outlineLevel="1">
      <c r="A17" s="60"/>
      <c r="B17" s="61"/>
      <c r="C17" s="64"/>
      <c r="D17" s="63"/>
      <c r="E17" s="38"/>
      <c r="F17" s="33"/>
      <c r="G17" s="34"/>
      <c r="H17" s="39"/>
      <c r="I17" s="39"/>
      <c r="J17" s="36">
        <f>IF(+I17+H17&gt;0,I17+(H17*labour),"")</f>
      </c>
      <c r="K17" s="37"/>
      <c r="L17" s="31"/>
      <c r="M17" s="33"/>
      <c r="N17" s="34"/>
      <c r="O17" s="36"/>
      <c r="P17" s="37">
        <f aca="true" t="shared" si="0" ref="P17:P37">+IF(M17="item",O17,IF(M17&lt;&gt;0,M17*O17,""))</f>
      </c>
      <c r="Q17" s="54"/>
      <c r="S17" s="113" t="s">
        <v>257</v>
      </c>
      <c r="T17" s="12"/>
      <c r="U17" s="12"/>
      <c r="V17" s="12"/>
      <c r="W17" s="19"/>
      <c r="X17" s="111"/>
    </row>
    <row r="18" spans="1:24" ht="12.75" hidden="1" outlineLevel="1">
      <c r="A18" s="60"/>
      <c r="B18" s="61"/>
      <c r="C18" s="64"/>
      <c r="D18" s="63"/>
      <c r="E18" s="38" t="s">
        <v>38</v>
      </c>
      <c r="F18" s="33">
        <f>ROUND(D22,0)</f>
        <v>48</v>
      </c>
      <c r="G18" s="34" t="s">
        <v>35</v>
      </c>
      <c r="H18" s="39">
        <v>0.13</v>
      </c>
      <c r="I18" s="39">
        <f>space</f>
        <v>5.6784</v>
      </c>
      <c r="J18" s="36">
        <f>IF(+I18+H18&gt;0,I18+(H18*labour),"")</f>
        <v>9.5784</v>
      </c>
      <c r="K18" s="37">
        <f>+IF(F18="item",J18,IF(F18&lt;&gt;0,F18*J18,""))</f>
        <v>459.7632</v>
      </c>
      <c r="L18" s="31" t="s">
        <v>39</v>
      </c>
      <c r="M18" s="33">
        <f>+F18</f>
        <v>48</v>
      </c>
      <c r="N18" s="34" t="s">
        <v>35</v>
      </c>
      <c r="O18" s="36">
        <f>space</f>
        <v>5.6784</v>
      </c>
      <c r="P18" s="37">
        <f t="shared" si="0"/>
        <v>272.5632</v>
      </c>
      <c r="Q18" s="54" t="s">
        <v>39</v>
      </c>
      <c r="S18" s="110" t="str">
        <f>+E18</f>
        <v>150mm thick Spaceblanket</v>
      </c>
      <c r="T18" s="114">
        <f>+K18</f>
        <v>459.7632</v>
      </c>
      <c r="U18" s="12"/>
      <c r="V18" s="12">
        <v>60</v>
      </c>
      <c r="W18" s="19">
        <f>ROUND(+IF(V18&gt;0,T18/V18,""),2)</f>
        <v>7.66</v>
      </c>
      <c r="X18" s="111"/>
    </row>
    <row r="19" spans="1:24" ht="12.75" hidden="1" outlineLevel="1">
      <c r="A19" s="60"/>
      <c r="B19" s="61"/>
      <c r="C19" s="64">
        <v>6</v>
      </c>
      <c r="D19" s="63"/>
      <c r="E19" s="38"/>
      <c r="F19" s="33"/>
      <c r="G19" s="34"/>
      <c r="H19" s="39"/>
      <c r="I19" s="39"/>
      <c r="J19" s="36"/>
      <c r="K19" s="37"/>
      <c r="L19" s="31"/>
      <c r="M19" s="33"/>
      <c r="N19" s="34"/>
      <c r="O19" s="36"/>
      <c r="P19" s="37"/>
      <c r="Q19" s="54"/>
      <c r="S19" s="110"/>
      <c r="T19" s="114"/>
      <c r="U19" s="12"/>
      <c r="V19" s="12"/>
      <c r="W19" s="19"/>
      <c r="X19" s="111"/>
    </row>
    <row r="20" spans="1:24" ht="12.75" hidden="1" outlineLevel="1">
      <c r="A20" s="60"/>
      <c r="B20" s="61"/>
      <c r="C20" s="135">
        <v>8</v>
      </c>
      <c r="D20" s="63">
        <f>+C19*C20</f>
        <v>48</v>
      </c>
      <c r="E20" s="38"/>
      <c r="F20" s="33"/>
      <c r="G20" s="34"/>
      <c r="H20" s="39"/>
      <c r="I20" s="39"/>
      <c r="J20" s="36"/>
      <c r="K20" s="37"/>
      <c r="L20" s="31"/>
      <c r="M20" s="33"/>
      <c r="N20" s="34"/>
      <c r="O20" s="36"/>
      <c r="P20" s="37"/>
      <c r="Q20" s="54"/>
      <c r="S20" s="110"/>
      <c r="T20" s="114"/>
      <c r="U20" s="12"/>
      <c r="V20" s="12"/>
      <c r="W20" s="19"/>
      <c r="X20" s="111"/>
    </row>
    <row r="21" spans="1:24" ht="12.75" hidden="1" outlineLevel="1">
      <c r="A21" s="60"/>
      <c r="B21" s="61"/>
      <c r="C21" s="64"/>
      <c r="D21" s="63"/>
      <c r="E21" s="38"/>
      <c r="F21" s="33"/>
      <c r="G21" s="34"/>
      <c r="H21" s="39"/>
      <c r="I21" s="39"/>
      <c r="J21" s="36"/>
      <c r="K21" s="37"/>
      <c r="L21" s="31"/>
      <c r="M21" s="33"/>
      <c r="N21" s="34"/>
      <c r="O21" s="36"/>
      <c r="P21" s="37"/>
      <c r="Q21" s="54"/>
      <c r="S21" s="110"/>
      <c r="T21" s="114"/>
      <c r="U21" s="12"/>
      <c r="V21" s="12"/>
      <c r="W21" s="19"/>
      <c r="X21" s="111"/>
    </row>
    <row r="22" spans="1:24" ht="12.75" hidden="1" outlineLevel="1">
      <c r="A22" s="60"/>
      <c r="B22" s="61"/>
      <c r="C22" s="64"/>
      <c r="D22" s="65">
        <f>SUM(D19:D21)</f>
        <v>48</v>
      </c>
      <c r="E22" s="38"/>
      <c r="F22" s="33"/>
      <c r="G22" s="34"/>
      <c r="H22" s="39"/>
      <c r="I22" s="39"/>
      <c r="J22" s="36">
        <f>IF(+I22+H22&gt;0,I22+(H22*labour),"")</f>
      </c>
      <c r="K22" s="37">
        <f>+IF(F22="item",J22,IF(F22&lt;&gt;0,F22*J22,""))</f>
      </c>
      <c r="L22" s="31"/>
      <c r="M22" s="33"/>
      <c r="N22" s="34"/>
      <c r="O22" s="36"/>
      <c r="P22" s="37">
        <f t="shared" si="0"/>
      </c>
      <c r="Q22" s="54"/>
      <c r="S22" s="110"/>
      <c r="T22" s="12"/>
      <c r="U22" s="12"/>
      <c r="V22" s="12"/>
      <c r="W22" s="19"/>
      <c r="X22" s="111"/>
    </row>
    <row r="23" spans="1:24" ht="12.75" hidden="1" outlineLevel="1">
      <c r="A23" s="60"/>
      <c r="B23" s="61"/>
      <c r="C23" s="64"/>
      <c r="D23" s="65"/>
      <c r="E23" s="38"/>
      <c r="F23" s="33"/>
      <c r="G23" s="34"/>
      <c r="H23" s="39"/>
      <c r="I23" s="39"/>
      <c r="J23" s="36"/>
      <c r="K23" s="37"/>
      <c r="L23" s="31"/>
      <c r="M23" s="33"/>
      <c r="N23" s="34"/>
      <c r="O23" s="36"/>
      <c r="P23" s="37"/>
      <c r="Q23" s="54"/>
      <c r="S23" s="110"/>
      <c r="T23" s="12"/>
      <c r="U23" s="12"/>
      <c r="V23" s="12"/>
      <c r="W23" s="19"/>
      <c r="X23" s="111"/>
    </row>
    <row r="24" spans="1:24" ht="12.75" hidden="1" outlineLevel="1">
      <c r="A24" s="60"/>
      <c r="B24" s="61"/>
      <c r="C24" s="64"/>
      <c r="D24" s="63"/>
      <c r="E24" s="38" t="s">
        <v>41</v>
      </c>
      <c r="F24" s="33">
        <f>+D28</f>
        <v>55</v>
      </c>
      <c r="G24" s="34" t="s">
        <v>8</v>
      </c>
      <c r="H24" s="39">
        <v>0.05</v>
      </c>
      <c r="I24" s="39">
        <f>eavesvent</f>
        <v>4.35</v>
      </c>
      <c r="J24" s="36">
        <f>IF(+I24+H24&gt;0,I24+(H24*labour),"")</f>
        <v>5.85</v>
      </c>
      <c r="K24" s="37">
        <f>+IF(F24="item",J24,IF(F24&lt;&gt;0,F24*J24,""))</f>
        <v>321.75</v>
      </c>
      <c r="L24" s="31"/>
      <c r="M24" s="33">
        <f>+F24</f>
        <v>55</v>
      </c>
      <c r="N24" s="34" t="s">
        <v>8</v>
      </c>
      <c r="O24" s="36">
        <f>eavesvent</f>
        <v>4.35</v>
      </c>
      <c r="P24" s="37">
        <f t="shared" si="0"/>
        <v>239.24999999999997</v>
      </c>
      <c r="Q24" s="54"/>
      <c r="S24" s="110" t="str">
        <f>+E24</f>
        <v>Glidevale eaves ventilators RV 401</v>
      </c>
      <c r="T24" s="114">
        <f>+K24</f>
        <v>321.75</v>
      </c>
      <c r="U24" s="12"/>
      <c r="V24" s="12">
        <v>60</v>
      </c>
      <c r="W24" s="19">
        <f>ROUND(+IF(V24&gt;0,T24/V24,""),2)</f>
        <v>5.36</v>
      </c>
      <c r="X24" s="111"/>
    </row>
    <row r="25" spans="1:24" ht="12.75" hidden="1" outlineLevel="1">
      <c r="A25" s="60"/>
      <c r="B25" s="61">
        <v>2</v>
      </c>
      <c r="C25" s="159">
        <f>ROUNDUP(6.1/0.4,0)+1</f>
        <v>17</v>
      </c>
      <c r="D25" s="161">
        <f>+C25*B25</f>
        <v>34</v>
      </c>
      <c r="E25" s="38"/>
      <c r="F25" s="33"/>
      <c r="G25" s="34"/>
      <c r="H25" s="39"/>
      <c r="I25" s="39"/>
      <c r="J25" s="36"/>
      <c r="K25" s="37"/>
      <c r="L25" s="31"/>
      <c r="M25" s="33"/>
      <c r="N25" s="34"/>
      <c r="O25" s="36"/>
      <c r="P25" s="37"/>
      <c r="Q25" s="54"/>
      <c r="S25" s="110"/>
      <c r="T25" s="114"/>
      <c r="U25" s="12"/>
      <c r="V25" s="12"/>
      <c r="W25" s="19"/>
      <c r="X25" s="111"/>
    </row>
    <row r="26" spans="1:24" ht="12.75" hidden="1" outlineLevel="1">
      <c r="A26" s="60"/>
      <c r="B26" s="61"/>
      <c r="C26" s="160">
        <f>ROUNDUP(8/0.4,0)+1</f>
        <v>21</v>
      </c>
      <c r="D26" s="161">
        <f>+C26</f>
        <v>21</v>
      </c>
      <c r="E26" s="38"/>
      <c r="F26" s="33"/>
      <c r="G26" s="34"/>
      <c r="H26" s="39"/>
      <c r="I26" s="39"/>
      <c r="J26" s="36"/>
      <c r="K26" s="37"/>
      <c r="L26" s="31"/>
      <c r="M26" s="33"/>
      <c r="N26" s="34"/>
      <c r="O26" s="36"/>
      <c r="P26" s="37"/>
      <c r="Q26" s="54"/>
      <c r="S26" s="110"/>
      <c r="T26" s="114"/>
      <c r="U26" s="12"/>
      <c r="V26" s="12"/>
      <c r="W26" s="19"/>
      <c r="X26" s="111"/>
    </row>
    <row r="27" spans="1:24" ht="12.75" hidden="1" outlineLevel="1">
      <c r="A27" s="60"/>
      <c r="B27" s="61"/>
      <c r="C27" s="158"/>
      <c r="D27" s="63"/>
      <c r="E27" s="38"/>
      <c r="F27" s="33"/>
      <c r="G27" s="34"/>
      <c r="H27" s="39"/>
      <c r="I27" s="39"/>
      <c r="J27" s="36"/>
      <c r="K27" s="37"/>
      <c r="L27" s="31"/>
      <c r="M27" s="33"/>
      <c r="N27" s="34"/>
      <c r="O27" s="36"/>
      <c r="P27" s="37"/>
      <c r="Q27" s="54"/>
      <c r="S27" s="110"/>
      <c r="T27" s="114"/>
      <c r="U27" s="12"/>
      <c r="V27" s="12"/>
      <c r="W27" s="19"/>
      <c r="X27" s="111"/>
    </row>
    <row r="28" spans="1:24" ht="12.75" hidden="1" outlineLevel="1">
      <c r="A28" s="60"/>
      <c r="B28" s="61"/>
      <c r="C28" s="158"/>
      <c r="D28" s="162">
        <f>SUM(D25:D27)</f>
        <v>55</v>
      </c>
      <c r="E28" s="38"/>
      <c r="F28" s="33"/>
      <c r="G28" s="34"/>
      <c r="H28" s="39"/>
      <c r="I28" s="39"/>
      <c r="J28" s="36"/>
      <c r="K28" s="37"/>
      <c r="L28" s="31"/>
      <c r="M28" s="33"/>
      <c r="N28" s="34"/>
      <c r="O28" s="36"/>
      <c r="P28" s="37"/>
      <c r="Q28" s="54"/>
      <c r="S28" s="110"/>
      <c r="T28" s="114"/>
      <c r="U28" s="12"/>
      <c r="V28" s="12"/>
      <c r="W28" s="19"/>
      <c r="X28" s="111"/>
    </row>
    <row r="29" spans="1:24" ht="12.75" hidden="1" outlineLevel="1">
      <c r="A29" s="60"/>
      <c r="B29" s="61"/>
      <c r="C29" s="64"/>
      <c r="D29" s="63"/>
      <c r="E29" s="38"/>
      <c r="F29" s="33"/>
      <c r="G29" s="34"/>
      <c r="H29" s="39"/>
      <c r="I29" s="39"/>
      <c r="J29" s="36"/>
      <c r="K29" s="37"/>
      <c r="L29" s="31"/>
      <c r="M29" s="33"/>
      <c r="N29" s="34"/>
      <c r="O29" s="36"/>
      <c r="P29" s="37"/>
      <c r="Q29" s="54"/>
      <c r="S29" s="110"/>
      <c r="T29" s="114"/>
      <c r="U29" s="12"/>
      <c r="V29" s="12"/>
      <c r="W29" s="19"/>
      <c r="X29" s="111"/>
    </row>
    <row r="30" spans="1:24" ht="12.75" hidden="1" outlineLevel="1">
      <c r="A30" s="60"/>
      <c r="B30" s="61"/>
      <c r="C30" s="64"/>
      <c r="D30" s="63"/>
      <c r="E30" s="38"/>
      <c r="F30" s="33"/>
      <c r="G30" s="34"/>
      <c r="H30" s="39"/>
      <c r="I30" s="39"/>
      <c r="J30" s="36">
        <f>IF(+I30+H30&gt;0,I30+(H30*labour),"")</f>
      </c>
      <c r="K30" s="37">
        <f>+IF(F30="item",J30,IF(F30&lt;&gt;0,F30*J30,""))</f>
      </c>
      <c r="L30" s="31"/>
      <c r="M30" s="33"/>
      <c r="N30" s="34"/>
      <c r="O30" s="36"/>
      <c r="P30" s="37">
        <f t="shared" si="0"/>
      </c>
      <c r="Q30" s="54"/>
      <c r="S30" s="110"/>
      <c r="T30" s="12"/>
      <c r="U30" s="12"/>
      <c r="V30" s="12"/>
      <c r="W30" s="19"/>
      <c r="X30" s="111"/>
    </row>
    <row r="31" spans="1:24" ht="12.75" hidden="1" outlineLevel="1">
      <c r="A31" s="60"/>
      <c r="B31" s="61"/>
      <c r="C31" s="64"/>
      <c r="D31" s="63"/>
      <c r="E31" s="38" t="s">
        <v>40</v>
      </c>
      <c r="F31" s="33" t="s">
        <v>1</v>
      </c>
      <c r="G31" s="34"/>
      <c r="H31" s="39"/>
      <c r="I31" s="39">
        <f>draughtdoor</f>
        <v>10.0688</v>
      </c>
      <c r="J31" s="36">
        <f>IF(+I31+H31&gt;0,I31+(H31*labour),"")</f>
        <v>10.0688</v>
      </c>
      <c r="K31" s="37">
        <f>+IF(F31="item",J31,IF(F31&lt;&gt;0,F31*J31,""))</f>
        <v>10.0688</v>
      </c>
      <c r="L31" s="31"/>
      <c r="M31" s="33" t="str">
        <f>+F31</f>
        <v>Item</v>
      </c>
      <c r="N31" s="34"/>
      <c r="O31" s="36">
        <f>+I31</f>
        <v>10.0688</v>
      </c>
      <c r="P31" s="37">
        <f t="shared" si="0"/>
        <v>10.0688</v>
      </c>
      <c r="Q31" s="54"/>
      <c r="S31" s="110" t="str">
        <f>+E31</f>
        <v>Pin on brush seals to loft hatch</v>
      </c>
      <c r="T31" s="114">
        <f>+K31</f>
        <v>10.0688</v>
      </c>
      <c r="U31" s="12"/>
      <c r="V31" s="12">
        <v>20</v>
      </c>
      <c r="W31" s="19">
        <f>ROUND(+IF(V31&gt;0,T31/V31,""),2)</f>
        <v>0.5</v>
      </c>
      <c r="X31" s="111"/>
    </row>
    <row r="32" spans="1:24" ht="12.75" hidden="1" outlineLevel="1">
      <c r="A32" s="60"/>
      <c r="B32" s="61"/>
      <c r="C32" s="64"/>
      <c r="D32" s="63"/>
      <c r="E32" s="38"/>
      <c r="F32" s="33"/>
      <c r="G32" s="34"/>
      <c r="H32" s="39"/>
      <c r="I32" s="39"/>
      <c r="J32" s="36">
        <f>IF(+I32+H32&gt;0,I32+(H32*labour),"")</f>
      </c>
      <c r="K32" s="37">
        <f>+IF(F32="item",J32,IF(F32&lt;&gt;0,F32*J32,""))</f>
      </c>
      <c r="L32" s="31"/>
      <c r="M32" s="33"/>
      <c r="N32" s="34"/>
      <c r="O32" s="36"/>
      <c r="P32" s="37">
        <f t="shared" si="0"/>
      </c>
      <c r="Q32" s="54"/>
      <c r="S32" s="110"/>
      <c r="T32" s="12"/>
      <c r="U32" s="12"/>
      <c r="V32" s="12"/>
      <c r="W32" s="19"/>
      <c r="X32" s="111"/>
    </row>
    <row r="33" spans="1:24" ht="12.75" hidden="1" outlineLevel="1">
      <c r="A33" s="60"/>
      <c r="B33" s="61"/>
      <c r="C33" s="64"/>
      <c r="D33" s="63"/>
      <c r="E33" s="38" t="s">
        <v>43</v>
      </c>
      <c r="F33" s="33" t="s">
        <v>1</v>
      </c>
      <c r="G33" s="34"/>
      <c r="H33" s="39"/>
      <c r="I33" s="39">
        <v>10</v>
      </c>
      <c r="J33" s="36">
        <v>50</v>
      </c>
      <c r="K33" s="37">
        <f>+IF(F33="item",J33,IF(F33&lt;&gt;0,F33*J33,""))</f>
        <v>50</v>
      </c>
      <c r="L33" s="31"/>
      <c r="M33" s="33" t="s">
        <v>1</v>
      </c>
      <c r="N33" s="34"/>
      <c r="O33" s="36">
        <v>25</v>
      </c>
      <c r="P33" s="37">
        <f t="shared" si="0"/>
        <v>25</v>
      </c>
      <c r="Q33" s="54"/>
      <c r="S33" s="110" t="str">
        <f>+E33</f>
        <v>Sundry materials</v>
      </c>
      <c r="T33" s="114">
        <f>+K33</f>
        <v>50</v>
      </c>
      <c r="U33" s="12"/>
      <c r="V33" s="12">
        <v>60</v>
      </c>
      <c r="W33" s="19">
        <f>ROUND(+IF(V33&gt;0,T33/V33,""),2)</f>
        <v>0.83</v>
      </c>
      <c r="X33" s="111"/>
    </row>
    <row r="34" spans="1:24" ht="12.75" hidden="1" outlineLevel="1">
      <c r="A34" s="60"/>
      <c r="B34" s="61"/>
      <c r="C34" s="64"/>
      <c r="D34" s="63"/>
      <c r="E34" s="38"/>
      <c r="F34" s="33"/>
      <c r="G34" s="34"/>
      <c r="H34" s="39"/>
      <c r="I34" s="39"/>
      <c r="J34" s="36"/>
      <c r="K34" s="37"/>
      <c r="L34" s="31"/>
      <c r="M34" s="33"/>
      <c r="N34" s="34"/>
      <c r="O34" s="36"/>
      <c r="P34" s="37"/>
      <c r="Q34" s="54"/>
      <c r="S34" s="110"/>
      <c r="T34" s="114"/>
      <c r="U34" s="12"/>
      <c r="V34" s="12"/>
      <c r="W34" s="19"/>
      <c r="X34" s="111"/>
    </row>
    <row r="35" spans="1:24" ht="12.75" hidden="1" outlineLevel="1">
      <c r="A35" s="60"/>
      <c r="B35" s="61"/>
      <c r="C35" s="64"/>
      <c r="D35" s="63"/>
      <c r="E35" s="38" t="s">
        <v>362</v>
      </c>
      <c r="F35" s="33">
        <v>10</v>
      </c>
      <c r="G35" s="34" t="s">
        <v>363</v>
      </c>
      <c r="H35" s="39"/>
      <c r="I35" s="39"/>
      <c r="J35" s="36">
        <f>SUM(K17:K34)</f>
        <v>841.582</v>
      </c>
      <c r="K35" s="37">
        <f>+J35*F35%</f>
        <v>84.15820000000001</v>
      </c>
      <c r="L35" s="31"/>
      <c r="M35" s="33"/>
      <c r="N35" s="34"/>
      <c r="O35" s="36"/>
      <c r="P35" s="37"/>
      <c r="Q35" s="54"/>
      <c r="S35" s="110"/>
      <c r="T35" s="114"/>
      <c r="U35" s="12"/>
      <c r="V35" s="12"/>
      <c r="W35" s="19"/>
      <c r="X35" s="111"/>
    </row>
    <row r="36" spans="1:24" ht="12.75" hidden="1" outlineLevel="1">
      <c r="A36" s="60"/>
      <c r="B36" s="61"/>
      <c r="C36" s="64"/>
      <c r="D36" s="63"/>
      <c r="E36" s="38"/>
      <c r="F36" s="33"/>
      <c r="G36" s="34"/>
      <c r="H36" s="39"/>
      <c r="I36" s="39"/>
      <c r="J36" s="36">
        <f>IF(+I36+H36&gt;0,I36+(H36*labour),"")</f>
      </c>
      <c r="K36" s="37">
        <f>+IF(F36="item",J36,IF(F36&lt;&gt;0,F36*J36,""))</f>
      </c>
      <c r="L36" s="31"/>
      <c r="M36" s="33"/>
      <c r="N36" s="34"/>
      <c r="O36" s="36"/>
      <c r="P36" s="37">
        <f t="shared" si="0"/>
      </c>
      <c r="Q36" s="54"/>
      <c r="S36" s="110"/>
      <c r="T36" s="12"/>
      <c r="U36" s="12"/>
      <c r="V36" s="12"/>
      <c r="W36" s="19"/>
      <c r="X36" s="111"/>
    </row>
    <row r="37" spans="1:24" ht="12.75" collapsed="1">
      <c r="A37" s="60"/>
      <c r="B37" s="61"/>
      <c r="C37" s="64"/>
      <c r="D37" s="63"/>
      <c r="E37" s="38"/>
      <c r="F37" s="33"/>
      <c r="G37" s="34"/>
      <c r="H37" s="39"/>
      <c r="I37" s="39"/>
      <c r="J37" s="36">
        <f>IF(+I37+H37&gt;0,I37+(H37*labour),"")</f>
      </c>
      <c r="K37" s="37"/>
      <c r="L37" s="31"/>
      <c r="M37" s="33"/>
      <c r="N37" s="34"/>
      <c r="O37" s="36"/>
      <c r="P37" s="37">
        <f t="shared" si="0"/>
      </c>
      <c r="Q37" s="54"/>
      <c r="S37" s="110"/>
      <c r="T37" s="12"/>
      <c r="U37" s="12"/>
      <c r="V37" s="12"/>
      <c r="W37" s="19"/>
      <c r="X37" s="111"/>
    </row>
    <row r="38" spans="1:24" ht="12.75">
      <c r="A38" s="60"/>
      <c r="B38" s="61"/>
      <c r="C38" s="64"/>
      <c r="D38" s="63"/>
      <c r="E38" s="32" t="s">
        <v>85</v>
      </c>
      <c r="F38" s="33"/>
      <c r="G38" s="34"/>
      <c r="H38" s="39"/>
      <c r="I38" s="39"/>
      <c r="J38" s="36">
        <f>IF(+I38+H38&gt;0,I38+(H38*labour),"")</f>
      </c>
      <c r="K38" s="53">
        <f>SUM(K40:K51)</f>
        <v>385.17072</v>
      </c>
      <c r="L38" s="31"/>
      <c r="M38" s="33"/>
      <c r="N38" s="34"/>
      <c r="O38" s="36"/>
      <c r="P38" s="53">
        <f>SUM(P40:P51)</f>
        <v>79.15520000000001</v>
      </c>
      <c r="Q38" s="54"/>
      <c r="S38" s="110"/>
      <c r="T38" s="12"/>
      <c r="U38" s="12"/>
      <c r="V38" s="12"/>
      <c r="W38" s="112">
        <f>SUM(W40:W51)</f>
        <v>35.01</v>
      </c>
      <c r="X38" s="111"/>
    </row>
    <row r="39" spans="1:24" ht="12.75">
      <c r="A39" s="60"/>
      <c r="B39" s="61"/>
      <c r="C39" s="64"/>
      <c r="D39" s="63"/>
      <c r="E39" s="38"/>
      <c r="F39" s="33"/>
      <c r="G39" s="34"/>
      <c r="H39" s="39"/>
      <c r="I39" s="39"/>
      <c r="J39" s="36">
        <f>IF(+I39+H39&gt;0,I39+(H39*labour),"")</f>
      </c>
      <c r="K39" s="37">
        <f>+IF(F39="item",J39,IF(F39&lt;&gt;0,F39*J39,""))</f>
      </c>
      <c r="L39" s="31"/>
      <c r="M39" s="33"/>
      <c r="N39" s="34"/>
      <c r="O39" s="36"/>
      <c r="P39" s="37">
        <f>+IF(M39="item",O39,IF(M39&lt;&gt;0,M39*O39,""))</f>
      </c>
      <c r="Q39" s="54"/>
      <c r="S39" s="113" t="s">
        <v>257</v>
      </c>
      <c r="T39" s="12"/>
      <c r="U39" s="12"/>
      <c r="V39" s="12"/>
      <c r="W39" s="19"/>
      <c r="X39" s="111"/>
    </row>
    <row r="40" spans="1:24" ht="12.75" hidden="1" outlineLevel="1">
      <c r="A40" s="60"/>
      <c r="B40" s="61"/>
      <c r="C40" s="64"/>
      <c r="D40" s="63"/>
      <c r="E40" s="38" t="s">
        <v>342</v>
      </c>
      <c r="F40" s="33" t="s">
        <v>1</v>
      </c>
      <c r="G40" s="34"/>
      <c r="H40" s="39">
        <v>8</v>
      </c>
      <c r="I40" s="39">
        <v>25</v>
      </c>
      <c r="J40" s="36">
        <f>IF(+I40+H40&gt;0,I40+(H40*labour),"")</f>
        <v>265</v>
      </c>
      <c r="K40" s="37">
        <f>+IF(F40="item",J40,IF(F40&lt;&gt;0,F40*J40,""))</f>
        <v>265</v>
      </c>
      <c r="L40" s="31" t="s">
        <v>341</v>
      </c>
      <c r="M40" s="33" t="str">
        <f>+F40</f>
        <v>Item</v>
      </c>
      <c r="N40" s="34" t="s">
        <v>8</v>
      </c>
      <c r="O40" s="36">
        <f>+I40</f>
        <v>25</v>
      </c>
      <c r="P40" s="37">
        <f>+IF(M40="item",O40,IF(M40&lt;&gt;0,M40*O40,""))</f>
        <v>25</v>
      </c>
      <c r="Q40" s="54" t="s">
        <v>341</v>
      </c>
      <c r="S40" s="110" t="str">
        <f>+E40</f>
        <v>Rubber seals</v>
      </c>
      <c r="T40" s="114">
        <f>+K40</f>
        <v>265</v>
      </c>
      <c r="U40" s="12"/>
      <c r="V40" s="12">
        <v>10</v>
      </c>
      <c r="W40" s="19">
        <f>ROUND(+IF(V40&gt;0,T40/V40,""),2)</f>
        <v>26.5</v>
      </c>
      <c r="X40" s="111"/>
    </row>
    <row r="41" spans="1:24" ht="12.75" hidden="1" outlineLevel="1">
      <c r="A41" s="60"/>
      <c r="B41" s="61"/>
      <c r="C41" s="64"/>
      <c r="D41" s="63"/>
      <c r="E41" s="38"/>
      <c r="F41" s="33"/>
      <c r="G41" s="34"/>
      <c r="H41" s="39"/>
      <c r="I41" s="39"/>
      <c r="J41" s="36"/>
      <c r="K41" s="37"/>
      <c r="L41" s="31"/>
      <c r="M41" s="33"/>
      <c r="N41" s="34"/>
      <c r="O41" s="36"/>
      <c r="P41" s="37"/>
      <c r="Q41" s="54"/>
      <c r="S41" s="110"/>
      <c r="T41" s="12"/>
      <c r="U41" s="12"/>
      <c r="V41" s="12"/>
      <c r="W41" s="19"/>
      <c r="X41" s="111"/>
    </row>
    <row r="42" spans="1:24" ht="12.75" hidden="1" outlineLevel="1">
      <c r="A42" s="60"/>
      <c r="B42" s="61"/>
      <c r="C42" s="64"/>
      <c r="D42" s="63"/>
      <c r="E42" s="38" t="s">
        <v>23</v>
      </c>
      <c r="F42" s="33" t="s">
        <v>1</v>
      </c>
      <c r="G42" s="34"/>
      <c r="H42" s="39"/>
      <c r="I42" s="39">
        <v>10</v>
      </c>
      <c r="J42" s="36">
        <f aca="true" t="shared" si="1" ref="J42:J53">IF(+I42+H42&gt;0,I42+(H42*labour),"")</f>
        <v>10</v>
      </c>
      <c r="K42" s="37">
        <f aca="true" t="shared" si="2" ref="K42:K53">+IF(F42="item",J42,IF(F42&lt;&gt;0,F42*J42,""))</f>
        <v>10</v>
      </c>
      <c r="L42" s="31" t="s">
        <v>31</v>
      </c>
      <c r="M42" s="33">
        <v>1</v>
      </c>
      <c r="N42" s="34" t="s">
        <v>8</v>
      </c>
      <c r="O42" s="36">
        <f>+I42</f>
        <v>10</v>
      </c>
      <c r="P42" s="37">
        <f aca="true" t="shared" si="3" ref="P42:P53">+IF(M42="item",O42,IF(M42&lt;&gt;0,M42*O42,""))</f>
        <v>10</v>
      </c>
      <c r="Q42" s="54" t="s">
        <v>31</v>
      </c>
      <c r="S42" s="110" t="str">
        <f>+E42</f>
        <v>Sundry consumables/ materials</v>
      </c>
      <c r="T42" s="114">
        <f>+K42</f>
        <v>10</v>
      </c>
      <c r="U42" s="12"/>
      <c r="V42" s="12">
        <v>10</v>
      </c>
      <c r="W42" s="19">
        <f>ROUND(+IF(V42&gt;0,T42/V42,""),2)</f>
        <v>1</v>
      </c>
      <c r="X42" s="111"/>
    </row>
    <row r="43" spans="1:24" ht="12.75" hidden="1" outlineLevel="1">
      <c r="A43" s="60"/>
      <c r="B43" s="61"/>
      <c r="C43" s="64"/>
      <c r="D43" s="65"/>
      <c r="E43" s="38"/>
      <c r="F43" s="33"/>
      <c r="G43" s="34"/>
      <c r="H43" s="39"/>
      <c r="I43" s="39"/>
      <c r="J43" s="36">
        <f t="shared" si="1"/>
      </c>
      <c r="K43" s="37">
        <f t="shared" si="2"/>
      </c>
      <c r="L43" s="31"/>
      <c r="M43" s="33"/>
      <c r="N43" s="34"/>
      <c r="O43" s="36"/>
      <c r="P43" s="37">
        <f t="shared" si="3"/>
      </c>
      <c r="Q43" s="54"/>
      <c r="S43" s="110"/>
      <c r="T43" s="12"/>
      <c r="U43" s="12"/>
      <c r="V43" s="12"/>
      <c r="W43" s="19"/>
      <c r="X43" s="111"/>
    </row>
    <row r="44" spans="1:24" ht="12.75" hidden="1" outlineLevel="1">
      <c r="A44" s="60"/>
      <c r="B44" s="61"/>
      <c r="C44" s="64"/>
      <c r="D44" s="63"/>
      <c r="E44" s="38" t="s">
        <v>26</v>
      </c>
      <c r="F44" s="33">
        <v>2</v>
      </c>
      <c r="G44" s="34" t="s">
        <v>8</v>
      </c>
      <c r="H44" s="39">
        <v>0.5</v>
      </c>
      <c r="I44" s="39">
        <f>draughtdoor</f>
        <v>10.0688</v>
      </c>
      <c r="J44" s="36">
        <f t="shared" si="1"/>
        <v>25.0688</v>
      </c>
      <c r="K44" s="37">
        <f t="shared" si="2"/>
        <v>50.1376</v>
      </c>
      <c r="L44" s="69"/>
      <c r="M44" s="33">
        <v>2</v>
      </c>
      <c r="N44" s="34" t="s">
        <v>8</v>
      </c>
      <c r="O44" s="36">
        <f>draughtdoor</f>
        <v>10.0688</v>
      </c>
      <c r="P44" s="37">
        <f t="shared" si="3"/>
        <v>20.1376</v>
      </c>
      <c r="Q44" s="96"/>
      <c r="S44" s="110" t="str">
        <f>+E44</f>
        <v>Pin on brush seal; head and jambs</v>
      </c>
      <c r="T44" s="114">
        <f>+K44</f>
        <v>50.1376</v>
      </c>
      <c r="U44" s="12"/>
      <c r="V44" s="12">
        <v>10</v>
      </c>
      <c r="W44" s="19">
        <f>ROUND(+IF(V44&gt;0,T44/V44,""),2)</f>
        <v>5.01</v>
      </c>
      <c r="X44" s="111"/>
    </row>
    <row r="45" spans="1:24" ht="12.75" hidden="1" outlineLevel="1">
      <c r="A45" s="60"/>
      <c r="B45" s="61"/>
      <c r="C45" s="64"/>
      <c r="D45" s="63"/>
      <c r="E45" s="38"/>
      <c r="F45" s="33"/>
      <c r="G45" s="34"/>
      <c r="H45" s="39"/>
      <c r="I45" s="39"/>
      <c r="J45" s="36">
        <f t="shared" si="1"/>
      </c>
      <c r="K45" s="37">
        <f t="shared" si="2"/>
      </c>
      <c r="L45" s="31"/>
      <c r="M45" s="33"/>
      <c r="N45" s="34"/>
      <c r="O45" s="36"/>
      <c r="P45" s="37">
        <f t="shared" si="3"/>
      </c>
      <c r="Q45" s="54"/>
      <c r="S45" s="110"/>
      <c r="T45" s="12"/>
      <c r="U45" s="12"/>
      <c r="V45" s="12"/>
      <c r="W45" s="19"/>
      <c r="X45" s="111"/>
    </row>
    <row r="46" spans="1:24" ht="12.75" hidden="1" outlineLevel="1">
      <c r="A46" s="60"/>
      <c r="B46" s="61"/>
      <c r="C46" s="64"/>
      <c r="D46" s="63"/>
      <c r="E46" s="38" t="s">
        <v>27</v>
      </c>
      <c r="F46" s="33">
        <v>2</v>
      </c>
      <c r="G46" s="34" t="s">
        <v>8</v>
      </c>
      <c r="H46" s="39">
        <v>0.1</v>
      </c>
      <c r="I46" s="39">
        <f>thresholdbrush</f>
        <v>9.5088</v>
      </c>
      <c r="J46" s="36">
        <f t="shared" si="1"/>
        <v>12.5088</v>
      </c>
      <c r="K46" s="37">
        <f t="shared" si="2"/>
        <v>25.0176</v>
      </c>
      <c r="L46" s="69"/>
      <c r="M46" s="33">
        <v>2</v>
      </c>
      <c r="N46" s="34" t="s">
        <v>8</v>
      </c>
      <c r="O46" s="39">
        <f>thresholdbrush</f>
        <v>9.5088</v>
      </c>
      <c r="P46" s="37">
        <f t="shared" si="3"/>
        <v>19.0176</v>
      </c>
      <c r="Q46" s="96"/>
      <c r="S46" s="110" t="str">
        <f>+E46</f>
        <v>Pin on bottom brush strip</v>
      </c>
      <c r="T46" s="114">
        <f>+K46</f>
        <v>25.0176</v>
      </c>
      <c r="U46" s="12"/>
      <c r="V46" s="12">
        <v>10</v>
      </c>
      <c r="W46" s="19">
        <f>ROUND(+IF(V46&gt;0,T46/V46,""),2)</f>
        <v>2.5</v>
      </c>
      <c r="X46" s="111"/>
    </row>
    <row r="47" spans="1:24" ht="12.75" hidden="1" outlineLevel="1">
      <c r="A47" s="60"/>
      <c r="B47" s="61"/>
      <c r="C47" s="64"/>
      <c r="D47" s="63"/>
      <c r="E47" s="38"/>
      <c r="F47" s="33"/>
      <c r="G47" s="34"/>
      <c r="H47" s="39"/>
      <c r="I47" s="39"/>
      <c r="J47" s="36">
        <f t="shared" si="1"/>
      </c>
      <c r="K47" s="37">
        <f t="shared" si="2"/>
      </c>
      <c r="L47" s="31"/>
      <c r="M47" s="33"/>
      <c r="N47" s="34"/>
      <c r="O47" s="36"/>
      <c r="P47" s="37">
        <f t="shared" si="3"/>
      </c>
      <c r="Q47" s="54"/>
      <c r="S47" s="110"/>
      <c r="T47" s="12"/>
      <c r="U47" s="12"/>
      <c r="V47" s="12"/>
      <c r="W47" s="19"/>
      <c r="X47" s="111"/>
    </row>
    <row r="48" spans="1:24" ht="12.75" hidden="1" outlineLevel="1">
      <c r="A48" s="60"/>
      <c r="B48" s="61"/>
      <c r="C48" s="64"/>
      <c r="D48" s="63"/>
      <c r="E48" s="38" t="s">
        <v>366</v>
      </c>
      <c r="F48" s="33"/>
      <c r="G48" s="34"/>
      <c r="H48" s="39"/>
      <c r="I48" s="39"/>
      <c r="J48" s="36">
        <f t="shared" si="1"/>
      </c>
      <c r="K48" s="37">
        <f t="shared" si="2"/>
      </c>
      <c r="L48" s="31"/>
      <c r="M48" s="33" t="s">
        <v>1</v>
      </c>
      <c r="N48" s="34"/>
      <c r="O48" s="36">
        <v>5</v>
      </c>
      <c r="P48" s="37">
        <f t="shared" si="3"/>
        <v>5</v>
      </c>
      <c r="Q48" s="54"/>
      <c r="S48" s="110" t="str">
        <f>+E48</f>
        <v>Delivery internet sourced materials</v>
      </c>
      <c r="T48" s="114">
        <f>+K48</f>
      </c>
      <c r="U48" s="12"/>
      <c r="V48" s="12"/>
      <c r="W48" s="19"/>
      <c r="X48" s="111"/>
    </row>
    <row r="49" spans="1:24" ht="12.75" hidden="1" outlineLevel="1">
      <c r="A49" s="60"/>
      <c r="B49" s="61"/>
      <c r="C49" s="64"/>
      <c r="D49" s="63"/>
      <c r="E49" s="38"/>
      <c r="F49" s="33"/>
      <c r="G49" s="34"/>
      <c r="H49" s="39"/>
      <c r="I49" s="39"/>
      <c r="J49" s="36"/>
      <c r="K49" s="37"/>
      <c r="L49" s="31"/>
      <c r="M49" s="33"/>
      <c r="N49" s="34"/>
      <c r="O49" s="36"/>
      <c r="P49" s="37"/>
      <c r="Q49" s="54"/>
      <c r="S49" s="110"/>
      <c r="T49" s="114"/>
      <c r="U49" s="12"/>
      <c r="V49" s="12"/>
      <c r="W49" s="19"/>
      <c r="X49" s="111"/>
    </row>
    <row r="50" spans="1:24" ht="12.75" hidden="1" outlineLevel="1">
      <c r="A50" s="60"/>
      <c r="B50" s="61"/>
      <c r="C50" s="64"/>
      <c r="D50" s="63"/>
      <c r="E50" s="38" t="s">
        <v>362</v>
      </c>
      <c r="F50" s="33">
        <v>10</v>
      </c>
      <c r="G50" s="34" t="s">
        <v>363</v>
      </c>
      <c r="H50" s="39"/>
      <c r="I50" s="39"/>
      <c r="J50" s="36">
        <f>SUM(K40:K49)</f>
        <v>350.15520000000004</v>
      </c>
      <c r="K50" s="37">
        <f>+J50*F50%</f>
        <v>35.01552</v>
      </c>
      <c r="L50" s="31"/>
      <c r="M50" s="33"/>
      <c r="N50" s="34"/>
      <c r="O50" s="36"/>
      <c r="P50" s="37"/>
      <c r="Q50" s="54"/>
      <c r="S50" s="110"/>
      <c r="T50" s="114"/>
      <c r="U50" s="12"/>
      <c r="V50" s="12"/>
      <c r="W50" s="19"/>
      <c r="X50" s="111"/>
    </row>
    <row r="51" spans="1:24" ht="12.75" hidden="1" outlineLevel="1">
      <c r="A51" s="60"/>
      <c r="B51" s="61"/>
      <c r="C51" s="64"/>
      <c r="D51" s="63"/>
      <c r="E51" s="38"/>
      <c r="F51" s="33"/>
      <c r="G51" s="34"/>
      <c r="H51" s="39"/>
      <c r="I51" s="39"/>
      <c r="J51" s="36">
        <f t="shared" si="1"/>
      </c>
      <c r="K51" s="37">
        <f t="shared" si="2"/>
      </c>
      <c r="L51" s="31"/>
      <c r="M51" s="33"/>
      <c r="N51" s="34"/>
      <c r="O51" s="36"/>
      <c r="P51" s="37">
        <f t="shared" si="3"/>
      </c>
      <c r="Q51" s="54"/>
      <c r="S51" s="110"/>
      <c r="T51" s="12"/>
      <c r="U51" s="12"/>
      <c r="V51" s="12"/>
      <c r="W51" s="19"/>
      <c r="X51" s="111"/>
    </row>
    <row r="52" spans="1:24" ht="12.75" hidden="1" outlineLevel="1">
      <c r="A52" s="60"/>
      <c r="B52" s="61"/>
      <c r="C52" s="64"/>
      <c r="D52" s="63"/>
      <c r="E52" s="38"/>
      <c r="F52" s="33"/>
      <c r="G52" s="34"/>
      <c r="H52" s="39"/>
      <c r="I52" s="39"/>
      <c r="J52" s="36">
        <f t="shared" si="1"/>
      </c>
      <c r="K52" s="37">
        <f t="shared" si="2"/>
      </c>
      <c r="L52" s="31"/>
      <c r="M52" s="33"/>
      <c r="N52" s="34"/>
      <c r="O52" s="36"/>
      <c r="P52" s="37">
        <f t="shared" si="3"/>
      </c>
      <c r="Q52" s="54"/>
      <c r="S52" s="110"/>
      <c r="T52" s="12"/>
      <c r="U52" s="12"/>
      <c r="V52" s="12"/>
      <c r="W52" s="19"/>
      <c r="X52" s="111"/>
    </row>
    <row r="53" spans="1:24" ht="12.75" collapsed="1">
      <c r="A53" s="60"/>
      <c r="B53" s="61"/>
      <c r="C53" s="64"/>
      <c r="D53" s="63"/>
      <c r="E53" s="38"/>
      <c r="F53" s="33"/>
      <c r="G53" s="34"/>
      <c r="H53" s="39"/>
      <c r="I53" s="39"/>
      <c r="J53" s="36">
        <f t="shared" si="1"/>
      </c>
      <c r="K53" s="37">
        <f t="shared" si="2"/>
      </c>
      <c r="L53" s="31"/>
      <c r="M53" s="33"/>
      <c r="N53" s="34"/>
      <c r="O53" s="36"/>
      <c r="P53" s="37">
        <f t="shared" si="3"/>
      </c>
      <c r="Q53" s="54"/>
      <c r="S53" s="110"/>
      <c r="T53" s="12"/>
      <c r="U53" s="12"/>
      <c r="V53" s="12"/>
      <c r="W53" s="19"/>
      <c r="X53" s="111"/>
    </row>
    <row r="54" spans="1:24" ht="12.75">
      <c r="A54" s="60"/>
      <c r="B54" s="61"/>
      <c r="C54" s="64"/>
      <c r="D54" s="63"/>
      <c r="E54" s="32" t="s">
        <v>86</v>
      </c>
      <c r="F54" s="33"/>
      <c r="G54" s="34"/>
      <c r="H54" s="35"/>
      <c r="I54" s="35"/>
      <c r="J54" s="36"/>
      <c r="K54" s="53">
        <f>SUM(K56:K63)</f>
        <v>139.78800000000004</v>
      </c>
      <c r="L54" s="31"/>
      <c r="M54" s="33"/>
      <c r="N54" s="34"/>
      <c r="O54" s="36"/>
      <c r="P54" s="53">
        <f>SUM(P56:P63)</f>
        <v>94.08000000000001</v>
      </c>
      <c r="Q54" s="54"/>
      <c r="S54" s="110"/>
      <c r="T54" s="12"/>
      <c r="U54" s="12"/>
      <c r="V54" s="12"/>
      <c r="W54" s="112">
        <f>SUM(W56:W60)</f>
        <v>12.71</v>
      </c>
      <c r="X54" s="111"/>
    </row>
    <row r="55" spans="1:24" ht="12.75">
      <c r="A55" s="60"/>
      <c r="B55" s="61"/>
      <c r="C55" s="64"/>
      <c r="D55" s="63"/>
      <c r="E55" s="32"/>
      <c r="F55" s="33"/>
      <c r="G55" s="34"/>
      <c r="H55" s="35"/>
      <c r="I55" s="35"/>
      <c r="J55" s="36"/>
      <c r="K55" s="37">
        <f>+IF(F55="item",J55,IF(F55&lt;&gt;0,F55*J55,""))</f>
      </c>
      <c r="L55" s="31"/>
      <c r="M55" s="33"/>
      <c r="N55" s="34"/>
      <c r="O55" s="36"/>
      <c r="P55" s="37"/>
      <c r="Q55" s="54"/>
      <c r="S55" s="110"/>
      <c r="T55" s="12"/>
      <c r="U55" s="12"/>
      <c r="V55" s="12"/>
      <c r="W55" s="19"/>
      <c r="X55" s="111"/>
    </row>
    <row r="56" spans="1:24" ht="38.25" hidden="1" outlineLevel="1">
      <c r="A56" s="60"/>
      <c r="B56" s="61"/>
      <c r="C56" s="64"/>
      <c r="D56" s="63"/>
      <c r="E56" s="38" t="s">
        <v>17</v>
      </c>
      <c r="F56" s="33"/>
      <c r="G56" s="34"/>
      <c r="H56" s="35"/>
      <c r="I56" s="35"/>
      <c r="J56" s="36"/>
      <c r="K56" s="37"/>
      <c r="L56" s="54" t="s">
        <v>22</v>
      </c>
      <c r="M56" s="33"/>
      <c r="N56" s="34"/>
      <c r="O56" s="36"/>
      <c r="P56" s="37"/>
      <c r="Q56" s="54" t="s">
        <v>22</v>
      </c>
      <c r="S56" s="110"/>
      <c r="T56" s="12"/>
      <c r="U56" s="12"/>
      <c r="V56" s="12"/>
      <c r="W56" s="19"/>
      <c r="X56" s="111"/>
    </row>
    <row r="57" spans="1:24" ht="12.75" hidden="1" outlineLevel="1">
      <c r="A57" s="60"/>
      <c r="B57" s="61"/>
      <c r="C57" s="64"/>
      <c r="D57" s="63"/>
      <c r="E57" s="32"/>
      <c r="F57" s="33"/>
      <c r="G57" s="34"/>
      <c r="H57" s="35"/>
      <c r="I57" s="35"/>
      <c r="J57" s="36"/>
      <c r="K57" s="37"/>
      <c r="L57" s="31"/>
      <c r="M57" s="33"/>
      <c r="N57" s="34"/>
      <c r="O57" s="36"/>
      <c r="P57" s="37"/>
      <c r="Q57" s="54"/>
      <c r="S57" s="113" t="s">
        <v>257</v>
      </c>
      <c r="T57" s="12"/>
      <c r="U57" s="12"/>
      <c r="V57" s="12"/>
      <c r="W57" s="19"/>
      <c r="X57" s="111"/>
    </row>
    <row r="58" spans="1:24" ht="38.25" customHeight="1" hidden="1" outlineLevel="1">
      <c r="A58" s="60"/>
      <c r="B58" s="61"/>
      <c r="C58" s="64"/>
      <c r="D58" s="63"/>
      <c r="E58" s="52" t="s">
        <v>18</v>
      </c>
      <c r="F58" s="33">
        <v>16</v>
      </c>
      <c r="G58" s="34" t="s">
        <v>8</v>
      </c>
      <c r="H58" s="39">
        <v>0.05</v>
      </c>
      <c r="I58" s="39">
        <f>bulb</f>
        <v>3.3600000000000008</v>
      </c>
      <c r="J58" s="36">
        <f>IF(+I58+H58&gt;0,I58+(H58*labour),"")</f>
        <v>4.860000000000001</v>
      </c>
      <c r="K58" s="37">
        <f>+IF(F58="item",J58,IF(F58&lt;&gt;0,F58*J58,""))</f>
        <v>77.76000000000002</v>
      </c>
      <c r="L58" s="31" t="s">
        <v>21</v>
      </c>
      <c r="M58" s="33">
        <f>+F58</f>
        <v>16</v>
      </c>
      <c r="N58" s="34" t="s">
        <v>8</v>
      </c>
      <c r="O58" s="36">
        <f>bulb</f>
        <v>3.3600000000000008</v>
      </c>
      <c r="P58" s="37">
        <f>+IF(M58="item",O58,IF(M58&lt;&gt;0,M58*O58,""))</f>
        <v>53.76000000000001</v>
      </c>
      <c r="Q58" s="54" t="s">
        <v>21</v>
      </c>
      <c r="S58" s="110" t="str">
        <f>+E58</f>
        <v>Pendants/ standard and table lamps</v>
      </c>
      <c r="T58" s="114">
        <f>+K58</f>
        <v>77.76000000000002</v>
      </c>
      <c r="U58" s="12"/>
      <c r="V58" s="12">
        <v>10</v>
      </c>
      <c r="W58" s="19">
        <f>ROUND(+IF(V58&gt;0,T58/V58,""),2)</f>
        <v>7.78</v>
      </c>
      <c r="X58" s="111"/>
    </row>
    <row r="59" spans="1:24" ht="12.75" hidden="1" outlineLevel="1">
      <c r="A59" s="60"/>
      <c r="B59" s="61"/>
      <c r="C59" s="64"/>
      <c r="D59" s="63"/>
      <c r="E59" s="52"/>
      <c r="F59" s="33"/>
      <c r="G59" s="34"/>
      <c r="H59" s="39"/>
      <c r="I59" s="39"/>
      <c r="J59" s="36"/>
      <c r="K59" s="37"/>
      <c r="L59" s="31"/>
      <c r="M59" s="33"/>
      <c r="N59" s="34"/>
      <c r="O59" s="36"/>
      <c r="P59" s="37"/>
      <c r="Q59" s="54"/>
      <c r="S59" s="110"/>
      <c r="T59" s="114"/>
      <c r="U59" s="12"/>
      <c r="V59" s="12"/>
      <c r="W59" s="19"/>
      <c r="X59" s="111"/>
    </row>
    <row r="60" spans="1:24" ht="12.75" hidden="1" outlineLevel="1">
      <c r="A60" s="60"/>
      <c r="B60" s="61"/>
      <c r="C60" s="64"/>
      <c r="D60" s="63"/>
      <c r="E60" s="52" t="s">
        <v>19</v>
      </c>
      <c r="F60" s="33">
        <v>6</v>
      </c>
      <c r="G60" s="34" t="s">
        <v>8</v>
      </c>
      <c r="H60" s="39">
        <v>0.05</v>
      </c>
      <c r="I60" s="39">
        <f>spot</f>
        <v>6.7200000000000015</v>
      </c>
      <c r="J60" s="36">
        <f aca="true" t="shared" si="4" ref="J60:J81">IF(+I60+H60&gt;0,I60+(H60*labour),"")</f>
        <v>8.220000000000002</v>
      </c>
      <c r="K60" s="37">
        <f>+IF(F60="item",J60,IF(F60&lt;&gt;0,F60*J60,""))</f>
        <v>49.320000000000014</v>
      </c>
      <c r="L60" s="31" t="s">
        <v>20</v>
      </c>
      <c r="M60" s="33">
        <f>+F60</f>
        <v>6</v>
      </c>
      <c r="N60" s="34" t="s">
        <v>8</v>
      </c>
      <c r="O60" s="36">
        <f>spot</f>
        <v>6.7200000000000015</v>
      </c>
      <c r="P60" s="37">
        <f aca="true" t="shared" si="5" ref="P60:P78">+IF(M60="item",O60,IF(M60&lt;&gt;0,M60*O60,""))</f>
        <v>40.32000000000001</v>
      </c>
      <c r="Q60" s="54" t="s">
        <v>20</v>
      </c>
      <c r="S60" s="110" t="str">
        <f>+E60</f>
        <v>GU10 spot lamps</v>
      </c>
      <c r="T60" s="114">
        <f>+K60</f>
        <v>49.320000000000014</v>
      </c>
      <c r="U60" s="12"/>
      <c r="V60" s="12">
        <v>10</v>
      </c>
      <c r="W60" s="19">
        <f>ROUND(+IF(V60&gt;0,T60/V60,""),2)</f>
        <v>4.93</v>
      </c>
      <c r="X60" s="111"/>
    </row>
    <row r="61" spans="1:24" ht="12.75" hidden="1" outlineLevel="1">
      <c r="A61" s="60"/>
      <c r="B61" s="61"/>
      <c r="C61" s="64"/>
      <c r="D61" s="63"/>
      <c r="E61" s="52"/>
      <c r="F61" s="33"/>
      <c r="G61" s="34"/>
      <c r="H61" s="39"/>
      <c r="I61" s="39"/>
      <c r="J61" s="36"/>
      <c r="K61" s="37"/>
      <c r="L61" s="31"/>
      <c r="M61" s="33"/>
      <c r="N61" s="34"/>
      <c r="O61" s="36"/>
      <c r="P61" s="37"/>
      <c r="Q61" s="54"/>
      <c r="S61" s="110"/>
      <c r="T61" s="114"/>
      <c r="U61" s="12"/>
      <c r="V61" s="12"/>
      <c r="W61" s="19"/>
      <c r="X61" s="111"/>
    </row>
    <row r="62" spans="1:24" ht="12.75" hidden="1" outlineLevel="1">
      <c r="A62" s="60"/>
      <c r="B62" s="61"/>
      <c r="C62" s="64"/>
      <c r="D62" s="63"/>
      <c r="E62" s="38" t="s">
        <v>362</v>
      </c>
      <c r="F62" s="33">
        <v>10</v>
      </c>
      <c r="G62" s="34" t="s">
        <v>363</v>
      </c>
      <c r="H62" s="39"/>
      <c r="I62" s="39"/>
      <c r="J62" s="36">
        <f>SUM(K56:K61)</f>
        <v>127.08000000000004</v>
      </c>
      <c r="K62" s="37">
        <f>+J62*F62%</f>
        <v>12.708000000000006</v>
      </c>
      <c r="L62" s="31"/>
      <c r="M62" s="33"/>
      <c r="N62" s="34"/>
      <c r="O62" s="36"/>
      <c r="P62" s="37"/>
      <c r="Q62" s="54"/>
      <c r="S62" s="110"/>
      <c r="T62" s="114"/>
      <c r="U62" s="12"/>
      <c r="V62" s="12"/>
      <c r="W62" s="19"/>
      <c r="X62" s="111"/>
    </row>
    <row r="63" spans="1:24" ht="12.75" hidden="1" outlineLevel="1">
      <c r="A63" s="60"/>
      <c r="B63" s="61"/>
      <c r="C63" s="64"/>
      <c r="D63" s="63"/>
      <c r="E63" s="38"/>
      <c r="F63" s="33"/>
      <c r="G63" s="34"/>
      <c r="H63" s="39"/>
      <c r="I63" s="39"/>
      <c r="J63" s="36">
        <f t="shared" si="4"/>
      </c>
      <c r="K63" s="37">
        <f>+IF(F63="item",J63,IF(F63&lt;&gt;0,F63*J63,""))</f>
      </c>
      <c r="L63" s="31"/>
      <c r="M63" s="33"/>
      <c r="N63" s="34"/>
      <c r="O63" s="36"/>
      <c r="P63" s="37">
        <f t="shared" si="5"/>
      </c>
      <c r="Q63" s="54"/>
      <c r="S63" s="110"/>
      <c r="T63" s="114"/>
      <c r="U63" s="12"/>
      <c r="V63" s="12"/>
      <c r="W63" s="19"/>
      <c r="X63" s="111"/>
    </row>
    <row r="64" spans="1:24" ht="12.75" collapsed="1">
      <c r="A64" s="60"/>
      <c r="B64" s="61"/>
      <c r="C64" s="64"/>
      <c r="D64" s="63"/>
      <c r="E64" s="38"/>
      <c r="F64" s="33"/>
      <c r="G64" s="34"/>
      <c r="H64" s="39"/>
      <c r="I64" s="39"/>
      <c r="J64" s="36">
        <f t="shared" si="4"/>
      </c>
      <c r="K64" s="37">
        <f>+IF(F64="item",J64,IF(F64&lt;&gt;0,F64*J64,""))</f>
      </c>
      <c r="L64" s="31"/>
      <c r="M64" s="33"/>
      <c r="N64" s="34"/>
      <c r="O64" s="36"/>
      <c r="P64" s="37">
        <f t="shared" si="5"/>
      </c>
      <c r="Q64" s="54"/>
      <c r="S64" s="110"/>
      <c r="T64" s="12"/>
      <c r="U64" s="12"/>
      <c r="V64" s="12"/>
      <c r="W64" s="19"/>
      <c r="X64" s="111"/>
    </row>
    <row r="65" spans="1:24" ht="39" customHeight="1">
      <c r="A65" s="60"/>
      <c r="B65" s="61"/>
      <c r="C65" s="64"/>
      <c r="D65" s="63"/>
      <c r="E65" s="32" t="s">
        <v>87</v>
      </c>
      <c r="F65" s="33"/>
      <c r="G65" s="34"/>
      <c r="H65" s="39"/>
      <c r="I65" s="39"/>
      <c r="J65" s="36">
        <f t="shared" si="4"/>
      </c>
      <c r="K65" s="53">
        <f>SUM(K67:K76)</f>
        <v>2016.9428125</v>
      </c>
      <c r="L65" s="31" t="s">
        <v>54</v>
      </c>
      <c r="M65" s="72"/>
      <c r="N65" s="73"/>
      <c r="O65" s="74"/>
      <c r="P65" s="75">
        <f t="shared" si="5"/>
      </c>
      <c r="Q65" s="76"/>
      <c r="S65" s="110"/>
      <c r="T65" s="12"/>
      <c r="U65" s="12"/>
      <c r="V65" s="12"/>
      <c r="W65" s="112">
        <f>SUM(W66:W76)</f>
        <v>57.019999999999996</v>
      </c>
      <c r="X65" s="111"/>
    </row>
    <row r="66" spans="1:24" ht="12.75" hidden="1" outlineLevel="1">
      <c r="A66" s="60"/>
      <c r="B66" s="61"/>
      <c r="C66" s="64"/>
      <c r="D66" s="63"/>
      <c r="E66" s="38"/>
      <c r="F66" s="33"/>
      <c r="G66" s="34"/>
      <c r="H66" s="39"/>
      <c r="I66" s="39"/>
      <c r="J66" s="36">
        <f t="shared" si="4"/>
      </c>
      <c r="K66" s="37">
        <f aca="true" t="shared" si="6" ref="K66:K78">+IF(F66="item",J66,IF(F66&lt;&gt;0,F66*J66,""))</f>
      </c>
      <c r="L66" s="31"/>
      <c r="M66" s="72"/>
      <c r="N66" s="73"/>
      <c r="O66" s="74"/>
      <c r="P66" s="75">
        <f t="shared" si="5"/>
      </c>
      <c r="Q66" s="76"/>
      <c r="S66" s="113" t="s">
        <v>257</v>
      </c>
      <c r="T66" s="12"/>
      <c r="U66" s="12"/>
      <c r="V66" s="12"/>
      <c r="W66" s="19"/>
      <c r="X66" s="111"/>
    </row>
    <row r="67" spans="1:24" ht="12.75" hidden="1" outlineLevel="1">
      <c r="A67" s="60"/>
      <c r="B67" s="61"/>
      <c r="C67" s="64"/>
      <c r="D67" s="65"/>
      <c r="E67" s="38" t="s">
        <v>51</v>
      </c>
      <c r="F67" s="33">
        <v>1</v>
      </c>
      <c r="G67" s="34" t="s">
        <v>8</v>
      </c>
      <c r="H67" s="39">
        <v>3</v>
      </c>
      <c r="I67" s="39">
        <f>prog</f>
        <v>73.70812499999998</v>
      </c>
      <c r="J67" s="36">
        <f t="shared" si="4"/>
        <v>163.708125</v>
      </c>
      <c r="K67" s="37">
        <f t="shared" si="6"/>
        <v>163.708125</v>
      </c>
      <c r="L67" s="31" t="s">
        <v>258</v>
      </c>
      <c r="M67" s="72"/>
      <c r="N67" s="73"/>
      <c r="O67" s="74"/>
      <c r="P67" s="75">
        <f t="shared" si="5"/>
      </c>
      <c r="Q67" s="76"/>
      <c r="S67" s="110" t="str">
        <f>+E67</f>
        <v>Two zone heating controller</v>
      </c>
      <c r="T67" s="114">
        <f>+K67</f>
        <v>163.708125</v>
      </c>
      <c r="U67" s="12"/>
      <c r="V67" s="12">
        <v>20</v>
      </c>
      <c r="W67" s="19">
        <f>ROUND(+IF(V67&gt;0,T67/V67,""),2)</f>
        <v>8.19</v>
      </c>
      <c r="X67" s="111"/>
    </row>
    <row r="68" spans="1:24" ht="12.75" hidden="1" outlineLevel="1">
      <c r="A68" s="60"/>
      <c r="B68" s="61"/>
      <c r="C68" s="64"/>
      <c r="D68" s="63"/>
      <c r="E68" s="38"/>
      <c r="F68" s="33"/>
      <c r="G68" s="34"/>
      <c r="H68" s="39"/>
      <c r="I68" s="39"/>
      <c r="J68" s="36">
        <f t="shared" si="4"/>
      </c>
      <c r="K68" s="37">
        <f t="shared" si="6"/>
      </c>
      <c r="L68" s="31"/>
      <c r="M68" s="72"/>
      <c r="N68" s="73"/>
      <c r="O68" s="74"/>
      <c r="P68" s="75">
        <f t="shared" si="5"/>
      </c>
      <c r="Q68" s="76"/>
      <c r="S68" s="110"/>
      <c r="T68" s="12"/>
      <c r="U68" s="12"/>
      <c r="V68" s="12"/>
      <c r="W68" s="19"/>
      <c r="X68" s="111"/>
    </row>
    <row r="69" spans="1:24" ht="12.75" hidden="1" outlineLevel="1">
      <c r="A69" s="60"/>
      <c r="B69" s="61"/>
      <c r="C69" s="64"/>
      <c r="D69" s="63"/>
      <c r="E69" s="38" t="s">
        <v>52</v>
      </c>
      <c r="F69" s="33">
        <v>9</v>
      </c>
      <c r="G69" s="34" t="s">
        <v>8</v>
      </c>
      <c r="H69" s="39">
        <v>0.5</v>
      </c>
      <c r="I69" s="39">
        <f>TRV</f>
        <v>11.66125</v>
      </c>
      <c r="J69" s="36">
        <f t="shared" si="4"/>
        <v>26.661250000000003</v>
      </c>
      <c r="K69" s="37">
        <f t="shared" si="6"/>
        <v>239.95125000000002</v>
      </c>
      <c r="L69" s="31"/>
      <c r="M69" s="72"/>
      <c r="N69" s="73"/>
      <c r="O69" s="74"/>
      <c r="P69" s="75">
        <f t="shared" si="5"/>
      </c>
      <c r="Q69" s="76"/>
      <c r="S69" s="110" t="str">
        <f>+E69</f>
        <v>Thermostatic radiator valves</v>
      </c>
      <c r="T69" s="114">
        <f>+K69</f>
        <v>239.95125000000002</v>
      </c>
      <c r="U69" s="12"/>
      <c r="V69" s="12">
        <v>10</v>
      </c>
      <c r="W69" s="19">
        <f>ROUND(+IF(V69&gt;0,T69/V69,""),2)</f>
        <v>24</v>
      </c>
      <c r="X69" s="111"/>
    </row>
    <row r="70" spans="1:24" ht="12.75" hidden="1" outlineLevel="1">
      <c r="A70" s="60"/>
      <c r="B70" s="61"/>
      <c r="C70" s="64"/>
      <c r="D70" s="63"/>
      <c r="E70" s="38"/>
      <c r="F70" s="33"/>
      <c r="G70" s="34"/>
      <c r="H70" s="39"/>
      <c r="I70" s="39"/>
      <c r="J70" s="36">
        <f t="shared" si="4"/>
      </c>
      <c r="K70" s="37">
        <f t="shared" si="6"/>
      </c>
      <c r="L70" s="31"/>
      <c r="M70" s="72"/>
      <c r="N70" s="73"/>
      <c r="O70" s="74"/>
      <c r="P70" s="75">
        <f t="shared" si="5"/>
      </c>
      <c r="Q70" s="76"/>
      <c r="S70" s="110"/>
      <c r="T70" s="12"/>
      <c r="U70" s="12"/>
      <c r="V70" s="12"/>
      <c r="W70" s="19"/>
      <c r="X70" s="111"/>
    </row>
    <row r="71" spans="1:24" ht="12.75" hidden="1" outlineLevel="1">
      <c r="A71" s="60"/>
      <c r="B71" s="61"/>
      <c r="C71" s="64"/>
      <c r="D71" s="63"/>
      <c r="E71" s="38" t="s">
        <v>53</v>
      </c>
      <c r="F71" s="33">
        <v>1</v>
      </c>
      <c r="G71" s="34" t="s">
        <v>8</v>
      </c>
      <c r="H71" s="39">
        <v>0.5</v>
      </c>
      <c r="I71" s="39">
        <f>tankstat</f>
        <v>14.924999999999999</v>
      </c>
      <c r="J71" s="36">
        <f t="shared" si="4"/>
        <v>29.924999999999997</v>
      </c>
      <c r="K71" s="37">
        <f t="shared" si="6"/>
        <v>29.924999999999997</v>
      </c>
      <c r="L71" s="31"/>
      <c r="M71" s="72"/>
      <c r="N71" s="73"/>
      <c r="O71" s="74"/>
      <c r="P71" s="75">
        <f t="shared" si="5"/>
      </c>
      <c r="Q71" s="76"/>
      <c r="S71" s="110" t="str">
        <f>+E71</f>
        <v>Thermostatic control to hot water tank</v>
      </c>
      <c r="T71" s="114">
        <f>+K71</f>
        <v>29.924999999999997</v>
      </c>
      <c r="U71" s="12"/>
      <c r="V71" s="12">
        <v>20</v>
      </c>
      <c r="W71" s="19">
        <f>ROUND(+IF(V71&gt;0,T71/V71,""),2)</f>
        <v>1.5</v>
      </c>
      <c r="X71" s="111"/>
    </row>
    <row r="72" spans="1:24" ht="12.75" hidden="1" outlineLevel="1">
      <c r="A72" s="60"/>
      <c r="B72" s="61"/>
      <c r="C72" s="64"/>
      <c r="D72" s="63"/>
      <c r="E72" s="38"/>
      <c r="F72" s="33"/>
      <c r="G72" s="34"/>
      <c r="H72" s="39"/>
      <c r="I72" s="39"/>
      <c r="J72" s="36">
        <f t="shared" si="4"/>
      </c>
      <c r="K72" s="37">
        <f t="shared" si="6"/>
      </c>
      <c r="L72" s="31"/>
      <c r="M72" s="72"/>
      <c r="N72" s="73"/>
      <c r="O72" s="74"/>
      <c r="P72" s="75">
        <f t="shared" si="5"/>
      </c>
      <c r="Q72" s="76"/>
      <c r="S72" s="110"/>
      <c r="T72" s="12"/>
      <c r="U72" s="12"/>
      <c r="V72" s="12"/>
      <c r="W72" s="19"/>
      <c r="X72" s="111"/>
    </row>
    <row r="73" spans="1:24" ht="25.5" hidden="1" outlineLevel="1">
      <c r="A73" s="60"/>
      <c r="B73" s="61"/>
      <c r="C73" s="64"/>
      <c r="D73" s="63"/>
      <c r="E73" s="38" t="s">
        <v>259</v>
      </c>
      <c r="F73" s="33" t="s">
        <v>1</v>
      </c>
      <c r="G73" s="34"/>
      <c r="H73" s="39">
        <v>40</v>
      </c>
      <c r="I73" s="39">
        <v>200</v>
      </c>
      <c r="J73" s="36">
        <f t="shared" si="4"/>
        <v>1400</v>
      </c>
      <c r="K73" s="37">
        <f t="shared" si="6"/>
        <v>1400</v>
      </c>
      <c r="L73" s="31" t="s">
        <v>260</v>
      </c>
      <c r="M73" s="72"/>
      <c r="N73" s="73"/>
      <c r="O73" s="74"/>
      <c r="P73" s="75">
        <f t="shared" si="5"/>
      </c>
      <c r="Q73" s="76"/>
      <c r="S73" s="110" t="str">
        <f>+E73</f>
        <v>Conversion to two zone heating</v>
      </c>
      <c r="T73" s="114">
        <f>+K73</f>
        <v>1400</v>
      </c>
      <c r="U73" s="12"/>
      <c r="V73" s="12">
        <v>60</v>
      </c>
      <c r="W73" s="19">
        <f>ROUND(+IF(V73&gt;0,T73/V73,""),2)</f>
        <v>23.33</v>
      </c>
      <c r="X73" s="111"/>
    </row>
    <row r="74" spans="1:24" ht="12.75" hidden="1" outlineLevel="1">
      <c r="A74" s="60"/>
      <c r="B74" s="61"/>
      <c r="C74" s="64"/>
      <c r="D74" s="63"/>
      <c r="E74" s="38"/>
      <c r="F74" s="33"/>
      <c r="G74" s="34"/>
      <c r="H74" s="39"/>
      <c r="I74" s="39"/>
      <c r="J74" s="36"/>
      <c r="K74" s="37"/>
      <c r="L74" s="31"/>
      <c r="M74" s="72"/>
      <c r="N74" s="73"/>
      <c r="O74" s="74"/>
      <c r="P74" s="75"/>
      <c r="Q74" s="76"/>
      <c r="S74" s="110"/>
      <c r="T74" s="114"/>
      <c r="U74" s="12"/>
      <c r="V74" s="12"/>
      <c r="W74" s="19"/>
      <c r="X74" s="111"/>
    </row>
    <row r="75" spans="1:24" ht="12.75" hidden="1" outlineLevel="1">
      <c r="A75" s="60"/>
      <c r="B75" s="61"/>
      <c r="C75" s="64"/>
      <c r="D75" s="63"/>
      <c r="E75" s="38" t="s">
        <v>362</v>
      </c>
      <c r="F75" s="33">
        <v>10</v>
      </c>
      <c r="G75" s="34" t="s">
        <v>363</v>
      </c>
      <c r="H75" s="39"/>
      <c r="I75" s="39"/>
      <c r="J75" s="36">
        <f>SUM(K66:K74)</f>
        <v>1833.584375</v>
      </c>
      <c r="K75" s="37">
        <f>+J75*F75%</f>
        <v>183.3584375</v>
      </c>
      <c r="L75" s="31"/>
      <c r="M75" s="72"/>
      <c r="N75" s="73"/>
      <c r="O75" s="74"/>
      <c r="P75" s="75"/>
      <c r="Q75" s="76"/>
      <c r="S75" s="110"/>
      <c r="T75" s="114"/>
      <c r="U75" s="12"/>
      <c r="V75" s="12"/>
      <c r="W75" s="19"/>
      <c r="X75" s="111"/>
    </row>
    <row r="76" spans="1:24" ht="12.75" hidden="1" outlineLevel="1">
      <c r="A76" s="60"/>
      <c r="B76" s="61"/>
      <c r="C76" s="64"/>
      <c r="D76" s="63"/>
      <c r="E76" s="38"/>
      <c r="F76" s="33"/>
      <c r="G76" s="34"/>
      <c r="H76" s="39"/>
      <c r="I76" s="39"/>
      <c r="J76" s="36">
        <f t="shared" si="4"/>
      </c>
      <c r="K76" s="37">
        <f t="shared" si="6"/>
      </c>
      <c r="L76" s="31"/>
      <c r="M76" s="72"/>
      <c r="N76" s="73"/>
      <c r="O76" s="74"/>
      <c r="P76" s="75">
        <f t="shared" si="5"/>
      </c>
      <c r="Q76" s="76"/>
      <c r="S76" s="110"/>
      <c r="T76" s="12"/>
      <c r="U76" s="12"/>
      <c r="V76" s="12"/>
      <c r="W76" s="19"/>
      <c r="X76" s="111"/>
    </row>
    <row r="77" spans="1:24" ht="12.75" collapsed="1">
      <c r="A77" s="60"/>
      <c r="B77" s="61"/>
      <c r="C77" s="64"/>
      <c r="D77" s="63"/>
      <c r="E77" s="38"/>
      <c r="F77" s="33"/>
      <c r="G77" s="34"/>
      <c r="H77" s="39"/>
      <c r="I77" s="39"/>
      <c r="J77" s="36">
        <f t="shared" si="4"/>
      </c>
      <c r="K77" s="37">
        <f t="shared" si="6"/>
      </c>
      <c r="L77" s="31"/>
      <c r="M77" s="33"/>
      <c r="N77" s="34"/>
      <c r="O77" s="36"/>
      <c r="P77" s="37">
        <f t="shared" si="5"/>
      </c>
      <c r="Q77" s="54"/>
      <c r="S77" s="110"/>
      <c r="T77" s="12"/>
      <c r="U77" s="12"/>
      <c r="V77" s="12"/>
      <c r="W77" s="19"/>
      <c r="X77" s="111"/>
    </row>
    <row r="78" spans="1:24" ht="12.75">
      <c r="A78" s="60"/>
      <c r="B78" s="61"/>
      <c r="C78" s="64"/>
      <c r="D78" s="63"/>
      <c r="E78" s="38"/>
      <c r="F78" s="33"/>
      <c r="G78" s="34"/>
      <c r="H78" s="39"/>
      <c r="I78" s="39"/>
      <c r="J78" s="36">
        <f t="shared" si="4"/>
      </c>
      <c r="K78" s="37">
        <f t="shared" si="6"/>
      </c>
      <c r="L78" s="31"/>
      <c r="M78" s="33"/>
      <c r="N78" s="34"/>
      <c r="O78" s="36"/>
      <c r="P78" s="37">
        <f t="shared" si="5"/>
      </c>
      <c r="Q78" s="54"/>
      <c r="S78" s="110"/>
      <c r="T78" s="12"/>
      <c r="U78" s="12"/>
      <c r="V78" s="12"/>
      <c r="W78" s="19"/>
      <c r="X78" s="111"/>
    </row>
    <row r="79" spans="1:24" ht="12.75">
      <c r="A79" s="60"/>
      <c r="B79" s="61"/>
      <c r="C79" s="64"/>
      <c r="D79" s="63"/>
      <c r="E79" s="32" t="s">
        <v>88</v>
      </c>
      <c r="F79" s="33"/>
      <c r="G79" s="34"/>
      <c r="H79" s="39"/>
      <c r="I79" s="39"/>
      <c r="J79" s="36">
        <f t="shared" si="4"/>
      </c>
      <c r="K79" s="53">
        <f>SUM(K80:K81)</f>
        <v>374.06250000000006</v>
      </c>
      <c r="L79" s="31"/>
      <c r="M79" s="33"/>
      <c r="N79" s="34"/>
      <c r="O79" s="36"/>
      <c r="P79" s="53">
        <f>SUM(P80:P81)</f>
        <v>212.06250000000003</v>
      </c>
      <c r="Q79" s="54"/>
      <c r="S79" s="113" t="s">
        <v>257</v>
      </c>
      <c r="T79" s="12"/>
      <c r="U79" s="12"/>
      <c r="V79" s="12"/>
      <c r="W79" s="19">
        <f>SUM(W80:W81)</f>
        <v>37.41</v>
      </c>
      <c r="X79" s="111"/>
    </row>
    <row r="80" spans="1:24" ht="12.75" hidden="1" outlineLevel="1">
      <c r="A80" s="60"/>
      <c r="B80" s="61"/>
      <c r="C80" s="64"/>
      <c r="D80" s="63"/>
      <c r="E80" s="38"/>
      <c r="F80" s="33"/>
      <c r="G80" s="34"/>
      <c r="H80" s="39"/>
      <c r="I80" s="39"/>
      <c r="J80" s="36">
        <f t="shared" si="4"/>
      </c>
      <c r="K80" s="37">
        <f>+IF(F80="item",J80,IF(F80&lt;&gt;0,F80*J80,""))</f>
      </c>
      <c r="L80" s="31"/>
      <c r="M80" s="33"/>
      <c r="N80" s="34"/>
      <c r="O80" s="36"/>
      <c r="P80" s="37">
        <f>+IF(M80="item",O80,IF(M80&lt;&gt;0,M80*O80,""))</f>
      </c>
      <c r="Q80" s="54"/>
      <c r="S80" s="110"/>
      <c r="T80" s="12"/>
      <c r="U80" s="12"/>
      <c r="V80" s="12"/>
      <c r="W80" s="19"/>
      <c r="X80" s="111"/>
    </row>
    <row r="81" spans="1:24" ht="25.5" customHeight="1" hidden="1" outlineLevel="1">
      <c r="A81" s="60"/>
      <c r="B81" s="61"/>
      <c r="C81" s="64"/>
      <c r="D81" s="63"/>
      <c r="E81" s="38" t="s">
        <v>57</v>
      </c>
      <c r="F81" s="33">
        <f>ROUND(D95,0)</f>
        <v>27</v>
      </c>
      <c r="G81" s="34" t="s">
        <v>35</v>
      </c>
      <c r="H81" s="39">
        <v>0.2</v>
      </c>
      <c r="I81" s="39">
        <f>blackout</f>
        <v>7.854166666666668</v>
      </c>
      <c r="J81" s="36">
        <f t="shared" si="4"/>
        <v>13.854166666666668</v>
      </c>
      <c r="K81" s="37">
        <f>+IF(F81="item",J81,IF(F81&lt;&gt;0,F81*J81,""))</f>
        <v>374.06250000000006</v>
      </c>
      <c r="L81" s="70"/>
      <c r="M81" s="33">
        <f>+F81</f>
        <v>27</v>
      </c>
      <c r="N81" s="34" t="s">
        <v>35</v>
      </c>
      <c r="O81" s="36">
        <f>blackout</f>
        <v>7.854166666666668</v>
      </c>
      <c r="P81" s="37">
        <f>+IF(M81="item",O81,IF(M81&lt;&gt;0,M81*O81,""))</f>
        <v>212.06250000000003</v>
      </c>
      <c r="Q81" s="97"/>
      <c r="S81" s="110" t="str">
        <f>+E81</f>
        <v>Heavy weight thermal linings to existing curtains</v>
      </c>
      <c r="T81" s="114">
        <f>+K81</f>
        <v>374.06250000000006</v>
      </c>
      <c r="U81" s="12"/>
      <c r="V81" s="12">
        <v>10</v>
      </c>
      <c r="W81" s="19">
        <f>ROUND(+IF(V81&gt;0,T81/V81,""),2)</f>
        <v>37.41</v>
      </c>
      <c r="X81" s="111"/>
    </row>
    <row r="82" spans="1:24" ht="12.75" hidden="1" outlineLevel="1">
      <c r="A82" s="60"/>
      <c r="B82" s="61">
        <v>2</v>
      </c>
      <c r="C82" s="64">
        <v>3</v>
      </c>
      <c r="D82" s="63"/>
      <c r="E82" s="38"/>
      <c r="F82" s="33"/>
      <c r="G82" s="34"/>
      <c r="H82" s="39"/>
      <c r="I82" s="39"/>
      <c r="J82" s="36"/>
      <c r="K82" s="37"/>
      <c r="L82" s="70"/>
      <c r="M82" s="33"/>
      <c r="N82" s="34"/>
      <c r="O82" s="36"/>
      <c r="P82" s="37"/>
      <c r="Q82" s="97"/>
      <c r="S82" s="110"/>
      <c r="T82" s="114"/>
      <c r="U82" s="12"/>
      <c r="V82" s="12"/>
      <c r="W82" s="19"/>
      <c r="X82" s="111"/>
    </row>
    <row r="83" spans="1:24" ht="12.75" hidden="1" outlineLevel="1">
      <c r="A83" s="60"/>
      <c r="B83" s="61"/>
      <c r="C83" s="135">
        <v>2</v>
      </c>
      <c r="D83" s="63">
        <f>+C83*C82*B82</f>
        <v>12</v>
      </c>
      <c r="E83" s="38"/>
      <c r="F83" s="33"/>
      <c r="G83" s="34"/>
      <c r="H83" s="39"/>
      <c r="I83" s="39"/>
      <c r="J83" s="36"/>
      <c r="K83" s="37"/>
      <c r="L83" s="70"/>
      <c r="M83" s="33"/>
      <c r="N83" s="34"/>
      <c r="O83" s="36"/>
      <c r="P83" s="37"/>
      <c r="Q83" s="97"/>
      <c r="S83" s="110"/>
      <c r="T83" s="114"/>
      <c r="U83" s="12"/>
      <c r="V83" s="12"/>
      <c r="W83" s="19"/>
      <c r="X83" s="111"/>
    </row>
    <row r="84" spans="1:24" ht="12.75" hidden="1" outlineLevel="1">
      <c r="A84" s="60"/>
      <c r="B84" s="61"/>
      <c r="C84" s="64">
        <v>0.8</v>
      </c>
      <c r="D84" s="63"/>
      <c r="E84" s="38"/>
      <c r="F84" s="33"/>
      <c r="G84" s="34"/>
      <c r="H84" s="39"/>
      <c r="I84" s="39"/>
      <c r="J84" s="36"/>
      <c r="K84" s="37"/>
      <c r="L84" s="70"/>
      <c r="M84" s="33"/>
      <c r="N84" s="34"/>
      <c r="O84" s="36"/>
      <c r="P84" s="37"/>
      <c r="Q84" s="97"/>
      <c r="S84" s="110"/>
      <c r="T84" s="114"/>
      <c r="U84" s="12"/>
      <c r="V84" s="12"/>
      <c r="W84" s="19"/>
      <c r="X84" s="111"/>
    </row>
    <row r="85" spans="1:24" ht="12.75" hidden="1" outlineLevel="1">
      <c r="A85" s="60"/>
      <c r="B85" s="61"/>
      <c r="C85" s="135">
        <v>1.5</v>
      </c>
      <c r="D85" s="63">
        <f>+C85*C84</f>
        <v>1.2000000000000002</v>
      </c>
      <c r="E85" s="38"/>
      <c r="F85" s="33"/>
      <c r="G85" s="34"/>
      <c r="H85" s="39"/>
      <c r="I85" s="39"/>
      <c r="J85" s="36"/>
      <c r="K85" s="37"/>
      <c r="L85" s="70"/>
      <c r="M85" s="33"/>
      <c r="N85" s="34"/>
      <c r="O85" s="36"/>
      <c r="P85" s="37"/>
      <c r="Q85" s="97"/>
      <c r="S85" s="110"/>
      <c r="T85" s="114"/>
      <c r="U85" s="12"/>
      <c r="V85" s="12"/>
      <c r="W85" s="19"/>
      <c r="X85" s="111"/>
    </row>
    <row r="86" spans="1:24" ht="12.75" hidden="1" outlineLevel="1">
      <c r="A86" s="60"/>
      <c r="B86" s="61"/>
      <c r="C86" s="64">
        <v>0.9</v>
      </c>
      <c r="D86" s="63"/>
      <c r="E86" s="38"/>
      <c r="F86" s="33"/>
      <c r="G86" s="34"/>
      <c r="H86" s="39"/>
      <c r="I86" s="39"/>
      <c r="J86" s="36"/>
      <c r="K86" s="37"/>
      <c r="L86" s="70"/>
      <c r="M86" s="33"/>
      <c r="N86" s="34"/>
      <c r="O86" s="36"/>
      <c r="P86" s="37"/>
      <c r="Q86" s="97"/>
      <c r="S86" s="110"/>
      <c r="T86" s="114"/>
      <c r="U86" s="12"/>
      <c r="V86" s="12"/>
      <c r="W86" s="19"/>
      <c r="X86" s="111"/>
    </row>
    <row r="87" spans="1:24" ht="12.75" hidden="1" outlineLevel="1">
      <c r="A87" s="60"/>
      <c r="B87" s="61"/>
      <c r="C87" s="135">
        <v>1.2</v>
      </c>
      <c r="D87" s="63">
        <f>+C87*C86</f>
        <v>1.08</v>
      </c>
      <c r="E87" s="38"/>
      <c r="F87" s="33"/>
      <c r="G87" s="34"/>
      <c r="H87" s="39"/>
      <c r="I87" s="39"/>
      <c r="J87" s="36"/>
      <c r="K87" s="37"/>
      <c r="L87" s="70"/>
      <c r="M87" s="33"/>
      <c r="N87" s="34"/>
      <c r="O87" s="36"/>
      <c r="P87" s="37"/>
      <c r="Q87" s="97"/>
      <c r="S87" s="110"/>
      <c r="T87" s="114"/>
      <c r="U87" s="12"/>
      <c r="V87" s="12"/>
      <c r="W87" s="19"/>
      <c r="X87" s="111"/>
    </row>
    <row r="88" spans="1:24" ht="12.75" hidden="1" outlineLevel="1">
      <c r="A88" s="60"/>
      <c r="B88" s="61"/>
      <c r="C88" s="64">
        <v>2.6</v>
      </c>
      <c r="D88" s="63"/>
      <c r="E88" s="38"/>
      <c r="F88" s="33"/>
      <c r="G88" s="34"/>
      <c r="H88" s="39"/>
      <c r="I88" s="39"/>
      <c r="J88" s="36"/>
      <c r="K88" s="37"/>
      <c r="L88" s="70"/>
      <c r="M88" s="33"/>
      <c r="N88" s="34"/>
      <c r="O88" s="36"/>
      <c r="P88" s="37"/>
      <c r="Q88" s="97"/>
      <c r="S88" s="110"/>
      <c r="T88" s="114"/>
      <c r="U88" s="12"/>
      <c r="V88" s="12"/>
      <c r="W88" s="19"/>
      <c r="X88" s="111"/>
    </row>
    <row r="89" spans="1:24" ht="12.75" hidden="1" outlineLevel="1">
      <c r="A89" s="60"/>
      <c r="B89" s="61"/>
      <c r="C89" s="135">
        <v>2</v>
      </c>
      <c r="D89" s="63">
        <f>+C89*C88</f>
        <v>5.2</v>
      </c>
      <c r="E89" s="38"/>
      <c r="F89" s="33"/>
      <c r="G89" s="34"/>
      <c r="H89" s="39"/>
      <c r="I89" s="39"/>
      <c r="J89" s="36"/>
      <c r="K89" s="37"/>
      <c r="L89" s="70"/>
      <c r="M89" s="33"/>
      <c r="N89" s="34"/>
      <c r="O89" s="36"/>
      <c r="P89" s="37"/>
      <c r="Q89" s="97"/>
      <c r="S89" s="110"/>
      <c r="T89" s="114"/>
      <c r="U89" s="12"/>
      <c r="V89" s="12"/>
      <c r="W89" s="19"/>
      <c r="X89" s="111"/>
    </row>
    <row r="90" spans="1:24" ht="12.75" hidden="1" outlineLevel="1">
      <c r="A90" s="60"/>
      <c r="B90" s="61"/>
      <c r="C90" s="64">
        <v>2.6</v>
      </c>
      <c r="D90" s="63"/>
      <c r="E90" s="38"/>
      <c r="F90" s="33"/>
      <c r="G90" s="34"/>
      <c r="H90" s="39"/>
      <c r="I90" s="39"/>
      <c r="J90" s="36"/>
      <c r="K90" s="37"/>
      <c r="L90" s="70"/>
      <c r="M90" s="33"/>
      <c r="N90" s="34"/>
      <c r="O90" s="36"/>
      <c r="P90" s="37"/>
      <c r="Q90" s="97"/>
      <c r="S90" s="110"/>
      <c r="T90" s="114"/>
      <c r="U90" s="12"/>
      <c r="V90" s="12"/>
      <c r="W90" s="19"/>
      <c r="X90" s="111"/>
    </row>
    <row r="91" spans="1:24" ht="12.75" hidden="1" outlineLevel="1">
      <c r="A91" s="60"/>
      <c r="B91" s="61"/>
      <c r="C91" s="135">
        <v>2.4</v>
      </c>
      <c r="D91" s="63">
        <f>+C91*C90</f>
        <v>6.24</v>
      </c>
      <c r="E91" s="38"/>
      <c r="F91" s="33"/>
      <c r="G91" s="34"/>
      <c r="H91" s="39"/>
      <c r="I91" s="39"/>
      <c r="J91" s="36"/>
      <c r="K91" s="37"/>
      <c r="L91" s="70"/>
      <c r="M91" s="33"/>
      <c r="N91" s="34"/>
      <c r="O91" s="36"/>
      <c r="P91" s="37"/>
      <c r="Q91" s="97"/>
      <c r="S91" s="110"/>
      <c r="T91" s="114"/>
      <c r="U91" s="12"/>
      <c r="V91" s="12"/>
      <c r="W91" s="19"/>
      <c r="X91" s="111"/>
    </row>
    <row r="92" spans="1:24" ht="12.75" hidden="1" outlineLevel="1">
      <c r="A92" s="60"/>
      <c r="B92" s="61"/>
      <c r="C92" s="64">
        <v>0.7</v>
      </c>
      <c r="D92" s="63"/>
      <c r="E92" s="38"/>
      <c r="F92" s="33"/>
      <c r="G92" s="34"/>
      <c r="H92" s="39"/>
      <c r="I92" s="39"/>
      <c r="J92" s="36"/>
      <c r="K92" s="37"/>
      <c r="L92" s="70"/>
      <c r="M92" s="33"/>
      <c r="N92" s="34"/>
      <c r="O92" s="36"/>
      <c r="P92" s="37"/>
      <c r="Q92" s="97"/>
      <c r="S92" s="110"/>
      <c r="T92" s="114"/>
      <c r="U92" s="12"/>
      <c r="V92" s="12"/>
      <c r="W92" s="19"/>
      <c r="X92" s="111"/>
    </row>
    <row r="93" spans="1:24" ht="12.75" hidden="1" outlineLevel="1">
      <c r="A93" s="60"/>
      <c r="B93" s="61"/>
      <c r="C93" s="135">
        <v>1.2</v>
      </c>
      <c r="D93" s="63">
        <f>+C93*C92</f>
        <v>0.84</v>
      </c>
      <c r="E93" s="38"/>
      <c r="F93" s="33"/>
      <c r="G93" s="34"/>
      <c r="H93" s="39"/>
      <c r="I93" s="39"/>
      <c r="J93" s="36"/>
      <c r="K93" s="37"/>
      <c r="L93" s="70"/>
      <c r="M93" s="33"/>
      <c r="N93" s="34"/>
      <c r="O93" s="36"/>
      <c r="P93" s="37"/>
      <c r="Q93" s="97"/>
      <c r="S93" s="110"/>
      <c r="T93" s="114"/>
      <c r="U93" s="12"/>
      <c r="V93" s="12"/>
      <c r="W93" s="19"/>
      <c r="X93" s="111"/>
    </row>
    <row r="94" spans="1:24" ht="12.75" hidden="1" outlineLevel="1">
      <c r="A94" s="60"/>
      <c r="B94" s="61"/>
      <c r="C94" s="64"/>
      <c r="D94" s="63"/>
      <c r="E94" s="38"/>
      <c r="F94" s="33"/>
      <c r="G94" s="34"/>
      <c r="H94" s="39"/>
      <c r="I94" s="39"/>
      <c r="J94" s="36"/>
      <c r="K94" s="37"/>
      <c r="L94" s="70"/>
      <c r="M94" s="33"/>
      <c r="N94" s="34"/>
      <c r="O94" s="36"/>
      <c r="P94" s="37"/>
      <c r="Q94" s="97"/>
      <c r="S94" s="110"/>
      <c r="T94" s="114"/>
      <c r="U94" s="12"/>
      <c r="V94" s="12"/>
      <c r="W94" s="19"/>
      <c r="X94" s="111"/>
    </row>
    <row r="95" spans="1:24" ht="12.75" hidden="1" outlineLevel="1">
      <c r="A95" s="60"/>
      <c r="B95" s="61"/>
      <c r="C95" s="64"/>
      <c r="D95" s="65">
        <f>SUM(D81:D94)</f>
        <v>26.56</v>
      </c>
      <c r="E95" s="38"/>
      <c r="F95" s="33"/>
      <c r="G95" s="34"/>
      <c r="H95" s="39"/>
      <c r="I95" s="39"/>
      <c r="J95" s="36"/>
      <c r="K95" s="37"/>
      <c r="L95" s="70"/>
      <c r="M95" s="33"/>
      <c r="N95" s="34"/>
      <c r="O95" s="36"/>
      <c r="P95" s="37"/>
      <c r="Q95" s="97"/>
      <c r="S95" s="110"/>
      <c r="T95" s="114"/>
      <c r="U95" s="12"/>
      <c r="V95" s="12"/>
      <c r="W95" s="19"/>
      <c r="X95" s="111"/>
    </row>
    <row r="96" spans="1:24" ht="12.75" hidden="1" outlineLevel="1">
      <c r="A96" s="60"/>
      <c r="B96" s="61"/>
      <c r="C96" s="64"/>
      <c r="D96" s="65"/>
      <c r="E96" s="38"/>
      <c r="F96" s="33"/>
      <c r="G96" s="34"/>
      <c r="H96" s="39"/>
      <c r="I96" s="39"/>
      <c r="J96" s="36"/>
      <c r="K96" s="37"/>
      <c r="L96" s="70"/>
      <c r="M96" s="33"/>
      <c r="N96" s="34"/>
      <c r="O96" s="36"/>
      <c r="P96" s="37"/>
      <c r="Q96" s="97"/>
      <c r="S96" s="110"/>
      <c r="T96" s="114"/>
      <c r="U96" s="12"/>
      <c r="V96" s="12"/>
      <c r="W96" s="19"/>
      <c r="X96" s="111"/>
    </row>
    <row r="97" spans="1:24" ht="12.75" hidden="1" outlineLevel="1">
      <c r="A97" s="60"/>
      <c r="B97" s="61"/>
      <c r="C97" s="64"/>
      <c r="D97" s="65"/>
      <c r="E97" s="38" t="s">
        <v>362</v>
      </c>
      <c r="F97" s="33">
        <v>10</v>
      </c>
      <c r="G97" s="34" t="s">
        <v>363</v>
      </c>
      <c r="H97" s="39"/>
      <c r="I97" s="39"/>
      <c r="J97" s="36">
        <f>SUM(K81:K96)</f>
        <v>374.06250000000006</v>
      </c>
      <c r="K97" s="37">
        <f>+J97*F97%</f>
        <v>37.40625000000001</v>
      </c>
      <c r="L97" s="70"/>
      <c r="M97" s="33"/>
      <c r="N97" s="34"/>
      <c r="O97" s="36"/>
      <c r="P97" s="37"/>
      <c r="Q97" s="97"/>
      <c r="S97" s="110"/>
      <c r="T97" s="114"/>
      <c r="U97" s="12"/>
      <c r="V97" s="12"/>
      <c r="W97" s="19"/>
      <c r="X97" s="111"/>
    </row>
    <row r="98" spans="1:24" ht="12.75" hidden="1" outlineLevel="1">
      <c r="A98" s="60"/>
      <c r="B98" s="61"/>
      <c r="C98" s="64"/>
      <c r="D98" s="63"/>
      <c r="E98" s="38"/>
      <c r="F98" s="33"/>
      <c r="G98" s="34"/>
      <c r="H98" s="39"/>
      <c r="I98" s="39"/>
      <c r="J98" s="36"/>
      <c r="K98" s="37"/>
      <c r="L98" s="70"/>
      <c r="M98" s="33"/>
      <c r="N98" s="34"/>
      <c r="O98" s="36"/>
      <c r="P98" s="37"/>
      <c r="Q98" s="97"/>
      <c r="S98" s="110"/>
      <c r="T98" s="114"/>
      <c r="U98" s="12"/>
      <c r="V98" s="12"/>
      <c r="W98" s="19"/>
      <c r="X98" s="111"/>
    </row>
    <row r="99" spans="1:24" ht="12.75" collapsed="1">
      <c r="A99" s="60"/>
      <c r="B99" s="61"/>
      <c r="C99" s="64"/>
      <c r="D99" s="63"/>
      <c r="E99" s="38"/>
      <c r="F99" s="33"/>
      <c r="G99" s="34"/>
      <c r="H99" s="39"/>
      <c r="I99" s="39"/>
      <c r="J99" s="36">
        <f aca="true" t="shared" si="7" ref="J99:J128">IF(+I99+H99&gt;0,I99+(H99*labour),"")</f>
      </c>
      <c r="K99" s="37">
        <f>+IF(F99="item",J99,IF(F99&lt;&gt;0,F99*J99,""))</f>
      </c>
      <c r="L99" s="31"/>
      <c r="M99" s="33"/>
      <c r="N99" s="34"/>
      <c r="O99" s="36"/>
      <c r="P99" s="37">
        <f>+IF(M99="item",O99,IF(M99&lt;&gt;0,M99*O99,""))</f>
      </c>
      <c r="Q99" s="54"/>
      <c r="S99" s="110"/>
      <c r="T99" s="12"/>
      <c r="U99" s="12"/>
      <c r="V99" s="12"/>
      <c r="W99" s="19"/>
      <c r="X99" s="111"/>
    </row>
    <row r="100" spans="1:24" ht="12.75">
      <c r="A100" s="60"/>
      <c r="B100" s="61"/>
      <c r="C100" s="64"/>
      <c r="D100" s="63"/>
      <c r="E100" s="38"/>
      <c r="F100" s="33"/>
      <c r="G100" s="34"/>
      <c r="H100" s="39"/>
      <c r="I100" s="39"/>
      <c r="J100" s="36">
        <f t="shared" si="7"/>
      </c>
      <c r="K100" s="37">
        <f>+IF(F100="item",J100,IF(F100&lt;&gt;0,F100*J100,""))</f>
      </c>
      <c r="L100" s="31"/>
      <c r="M100" s="33"/>
      <c r="N100" s="34"/>
      <c r="O100" s="36"/>
      <c r="P100" s="37">
        <f>+IF(M100="item",O100,IF(M100&lt;&gt;0,M100*O100,""))</f>
      </c>
      <c r="Q100" s="54"/>
      <c r="S100" s="110"/>
      <c r="T100" s="12"/>
      <c r="U100" s="12"/>
      <c r="V100" s="12"/>
      <c r="W100" s="19"/>
      <c r="X100" s="111"/>
    </row>
    <row r="101" spans="1:24" ht="25.5">
      <c r="A101" s="60"/>
      <c r="B101" s="61"/>
      <c r="C101" s="64"/>
      <c r="D101" s="63"/>
      <c r="E101" s="32" t="s">
        <v>89</v>
      </c>
      <c r="F101" s="33"/>
      <c r="G101" s="34"/>
      <c r="H101" s="39"/>
      <c r="I101" s="39"/>
      <c r="J101" s="36">
        <f t="shared" si="7"/>
      </c>
      <c r="K101" s="53">
        <f>SUM(K102:K118)</f>
        <v>564.5904</v>
      </c>
      <c r="L101" s="31" t="s">
        <v>64</v>
      </c>
      <c r="M101" s="72"/>
      <c r="N101" s="73"/>
      <c r="O101" s="74"/>
      <c r="P101" s="75">
        <f>+IF(M101="item",O101,IF(M101&lt;&gt;0,M101*O101,""))</f>
      </c>
      <c r="Q101" s="76"/>
      <c r="S101" s="113" t="s">
        <v>257</v>
      </c>
      <c r="T101" s="12"/>
      <c r="U101" s="12"/>
      <c r="V101" s="12"/>
      <c r="W101" s="112">
        <f>SUM(W103:W119)</f>
        <v>34.22</v>
      </c>
      <c r="X101" s="111"/>
    </row>
    <row r="102" spans="1:24" ht="12.75" hidden="1" outlineLevel="1">
      <c r="A102" s="60"/>
      <c r="B102" s="61"/>
      <c r="C102" s="64"/>
      <c r="D102" s="65"/>
      <c r="E102" s="38"/>
      <c r="F102" s="33"/>
      <c r="G102" s="34"/>
      <c r="H102" s="39"/>
      <c r="I102" s="39"/>
      <c r="J102" s="36">
        <f t="shared" si="7"/>
      </c>
      <c r="K102" s="37">
        <f>+IF(F102="item",J102,IF(F102&lt;&gt;0,F102*J102,""))</f>
      </c>
      <c r="L102" s="31"/>
      <c r="M102" s="72"/>
      <c r="N102" s="73"/>
      <c r="O102" s="74"/>
      <c r="P102" s="75">
        <f>+IF(M102="item",O102,IF(M102&lt;&gt;0,M102*O102,""))</f>
      </c>
      <c r="Q102" s="76"/>
      <c r="S102" s="110"/>
      <c r="T102" s="12"/>
      <c r="U102" s="12"/>
      <c r="V102" s="12"/>
      <c r="W102" s="19"/>
      <c r="X102" s="111"/>
    </row>
    <row r="103" spans="1:24" ht="12.75" hidden="1" outlineLevel="1">
      <c r="A103" s="60"/>
      <c r="B103" s="61"/>
      <c r="C103" s="64"/>
      <c r="D103" s="63"/>
      <c r="E103" s="38" t="s">
        <v>60</v>
      </c>
      <c r="F103" s="33">
        <f>ROUND(D105,0)</f>
        <v>48</v>
      </c>
      <c r="G103" s="34" t="s">
        <v>35</v>
      </c>
      <c r="H103" s="39">
        <v>0.2</v>
      </c>
      <c r="I103" s="39"/>
      <c r="J103" s="36">
        <f t="shared" si="7"/>
        <v>6</v>
      </c>
      <c r="K103" s="37">
        <f>+IF(F103="item",J103,IF(F103&lt;&gt;0,F103*J103,""))</f>
        <v>288</v>
      </c>
      <c r="L103" s="31"/>
      <c r="M103" s="72"/>
      <c r="N103" s="73"/>
      <c r="O103" s="74"/>
      <c r="P103" s="75">
        <f>+IF(M103="item",O103,IF(M103&lt;&gt;0,M103*O103,""))</f>
      </c>
      <c r="Q103" s="76"/>
      <c r="S103" s="110" t="str">
        <f>+E103</f>
        <v>Lifting/ relaying existing carpet</v>
      </c>
      <c r="T103" s="114">
        <f>+K103</f>
        <v>288</v>
      </c>
      <c r="U103" s="12"/>
      <c r="V103" s="12">
        <v>15</v>
      </c>
      <c r="W103" s="19">
        <f>ROUND(+IF(V103&gt;0,T103/V103,""),2)</f>
        <v>19.2</v>
      </c>
      <c r="X103" s="111"/>
    </row>
    <row r="104" spans="1:24" ht="12.75" hidden="1" outlineLevel="1">
      <c r="A104" s="60"/>
      <c r="B104" s="61">
        <v>1</v>
      </c>
      <c r="C104" s="64">
        <v>6</v>
      </c>
      <c r="D104" s="63"/>
      <c r="E104" s="38"/>
      <c r="F104" s="33"/>
      <c r="G104" s="34"/>
      <c r="H104" s="39"/>
      <c r="I104" s="39"/>
      <c r="J104" s="36"/>
      <c r="K104" s="37"/>
      <c r="L104" s="31"/>
      <c r="M104" s="72"/>
      <c r="N104" s="73"/>
      <c r="O104" s="74"/>
      <c r="P104" s="75"/>
      <c r="Q104" s="76"/>
      <c r="S104" s="110"/>
      <c r="T104" s="114"/>
      <c r="U104" s="12"/>
      <c r="V104" s="12"/>
      <c r="W104" s="19"/>
      <c r="X104" s="111"/>
    </row>
    <row r="105" spans="1:24" ht="12.75" hidden="1" outlineLevel="1">
      <c r="A105" s="60"/>
      <c r="B105" s="61"/>
      <c r="C105" s="135">
        <v>8</v>
      </c>
      <c r="D105" s="63">
        <f>+C105*C104*B104</f>
        <v>48</v>
      </c>
      <c r="E105" s="38"/>
      <c r="F105" s="33"/>
      <c r="G105" s="34"/>
      <c r="H105" s="39"/>
      <c r="I105" s="39"/>
      <c r="J105" s="36"/>
      <c r="K105" s="37"/>
      <c r="L105" s="31"/>
      <c r="M105" s="72"/>
      <c r="N105" s="73"/>
      <c r="O105" s="74"/>
      <c r="P105" s="75"/>
      <c r="Q105" s="76"/>
      <c r="S105" s="110"/>
      <c r="T105" s="114"/>
      <c r="U105" s="12"/>
      <c r="V105" s="12"/>
      <c r="W105" s="19"/>
      <c r="X105" s="111"/>
    </row>
    <row r="106" spans="1:24" ht="12.75" hidden="1" outlineLevel="1">
      <c r="A106" s="60"/>
      <c r="B106" s="61"/>
      <c r="C106" s="64"/>
      <c r="D106" s="63"/>
      <c r="E106" s="38"/>
      <c r="F106" s="33"/>
      <c r="G106" s="34"/>
      <c r="H106" s="39"/>
      <c r="I106" s="39"/>
      <c r="J106" s="36"/>
      <c r="K106" s="37"/>
      <c r="L106" s="31"/>
      <c r="M106" s="72"/>
      <c r="N106" s="73"/>
      <c r="O106" s="74"/>
      <c r="P106" s="75"/>
      <c r="Q106" s="76"/>
      <c r="S106" s="110"/>
      <c r="T106" s="114"/>
      <c r="U106" s="12"/>
      <c r="V106" s="12"/>
      <c r="W106" s="19"/>
      <c r="X106" s="111"/>
    </row>
    <row r="107" spans="1:24" ht="12.75" hidden="1" outlineLevel="1">
      <c r="A107" s="60"/>
      <c r="B107" s="61"/>
      <c r="C107" s="64"/>
      <c r="D107" s="63"/>
      <c r="E107" s="38" t="s">
        <v>132</v>
      </c>
      <c r="F107" s="33">
        <f>ROUND(D114,0)</f>
        <v>60</v>
      </c>
      <c r="G107" s="34" t="s">
        <v>108</v>
      </c>
      <c r="H107" s="39"/>
      <c r="I107" s="39">
        <v>0.5</v>
      </c>
      <c r="J107" s="36">
        <f t="shared" si="7"/>
        <v>0.5</v>
      </c>
      <c r="K107" s="37">
        <f>+IF(F107="item",J107,IF(F107&lt;&gt;0,F107*J107,""))</f>
        <v>30</v>
      </c>
      <c r="L107" s="31"/>
      <c r="M107" s="72"/>
      <c r="N107" s="73"/>
      <c r="O107" s="74"/>
      <c r="P107" s="75"/>
      <c r="Q107" s="76"/>
      <c r="S107" s="110" t="str">
        <f>+E107</f>
        <v>Grippers</v>
      </c>
      <c r="T107" s="114">
        <f>+K107</f>
        <v>30</v>
      </c>
      <c r="U107" s="12"/>
      <c r="V107" s="12">
        <v>15</v>
      </c>
      <c r="W107" s="19">
        <f>ROUND(+IF(V107&gt;0,T107/V107,""),2)</f>
        <v>2</v>
      </c>
      <c r="X107" s="111"/>
    </row>
    <row r="108" spans="1:24" ht="12.75" hidden="1" outlineLevel="1">
      <c r="A108" s="60">
        <v>2</v>
      </c>
      <c r="B108" s="61">
        <v>2</v>
      </c>
      <c r="C108" s="135">
        <v>6</v>
      </c>
      <c r="D108" s="63">
        <f>+C108*B108*A108</f>
        <v>24</v>
      </c>
      <c r="E108" s="38"/>
      <c r="F108" s="33"/>
      <c r="G108" s="34"/>
      <c r="H108" s="39"/>
      <c r="I108" s="39"/>
      <c r="J108" s="36"/>
      <c r="K108" s="37"/>
      <c r="L108" s="31"/>
      <c r="M108" s="72"/>
      <c r="N108" s="73"/>
      <c r="O108" s="74"/>
      <c r="P108" s="75"/>
      <c r="Q108" s="76"/>
      <c r="S108" s="110"/>
      <c r="T108" s="114"/>
      <c r="U108" s="12"/>
      <c r="V108" s="12"/>
      <c r="W108" s="19"/>
      <c r="X108" s="111"/>
    </row>
    <row r="109" spans="1:24" ht="12.75" hidden="1" outlineLevel="1">
      <c r="A109" s="60">
        <v>2</v>
      </c>
      <c r="B109" s="61">
        <v>2</v>
      </c>
      <c r="C109" s="156">
        <v>8</v>
      </c>
      <c r="D109" s="63">
        <f>+C109*B109*A109</f>
        <v>32</v>
      </c>
      <c r="E109" s="38"/>
      <c r="F109" s="33"/>
      <c r="G109" s="34"/>
      <c r="H109" s="39"/>
      <c r="I109" s="39"/>
      <c r="J109" s="36"/>
      <c r="K109" s="37"/>
      <c r="L109" s="31"/>
      <c r="M109" s="72"/>
      <c r="N109" s="73"/>
      <c r="O109" s="74"/>
      <c r="P109" s="75"/>
      <c r="Q109" s="76"/>
      <c r="S109" s="110"/>
      <c r="T109" s="114"/>
      <c r="U109" s="12"/>
      <c r="V109" s="12"/>
      <c r="W109" s="19"/>
      <c r="X109" s="111"/>
    </row>
    <row r="110" spans="1:24" ht="12.75" hidden="1" outlineLevel="1">
      <c r="A110" s="60"/>
      <c r="B110" s="61">
        <v>1</v>
      </c>
      <c r="C110" s="156">
        <v>2.1</v>
      </c>
      <c r="D110" s="63">
        <f>+C110*B110</f>
        <v>2.1</v>
      </c>
      <c r="E110" s="38"/>
      <c r="F110" s="33"/>
      <c r="G110" s="34"/>
      <c r="H110" s="39"/>
      <c r="I110" s="39"/>
      <c r="J110" s="36"/>
      <c r="K110" s="37"/>
      <c r="L110" s="31"/>
      <c r="M110" s="72"/>
      <c r="N110" s="73"/>
      <c r="O110" s="74"/>
      <c r="P110" s="75"/>
      <c r="Q110" s="76"/>
      <c r="S110" s="110"/>
      <c r="T110" s="114"/>
      <c r="U110" s="12"/>
      <c r="V110" s="12"/>
      <c r="W110" s="19"/>
      <c r="X110" s="111"/>
    </row>
    <row r="111" spans="1:24" ht="12.75" hidden="1" outlineLevel="1">
      <c r="A111" s="60"/>
      <c r="B111" s="61">
        <v>1</v>
      </c>
      <c r="C111" s="156">
        <v>1.8</v>
      </c>
      <c r="D111" s="63">
        <f>+C111*B111</f>
        <v>1.8</v>
      </c>
      <c r="E111" s="38"/>
      <c r="F111" s="33"/>
      <c r="G111" s="34"/>
      <c r="H111" s="39"/>
      <c r="I111" s="39"/>
      <c r="J111" s="36"/>
      <c r="K111" s="37"/>
      <c r="L111" s="31"/>
      <c r="M111" s="72"/>
      <c r="N111" s="73"/>
      <c r="O111" s="74"/>
      <c r="P111" s="75"/>
      <c r="Q111" s="76"/>
      <c r="S111" s="110"/>
      <c r="T111" s="114"/>
      <c r="U111" s="12"/>
      <c r="V111" s="12"/>
      <c r="W111" s="19"/>
      <c r="X111" s="111"/>
    </row>
    <row r="112" spans="1:24" ht="12.75" hidden="1" outlineLevel="1">
      <c r="A112" s="60"/>
      <c r="B112" s="61">
        <v>1</v>
      </c>
      <c r="C112" s="156">
        <v>0.5</v>
      </c>
      <c r="D112" s="63">
        <f>+C112*B112</f>
        <v>0.5</v>
      </c>
      <c r="E112" s="38"/>
      <c r="F112" s="33"/>
      <c r="G112" s="34"/>
      <c r="H112" s="39"/>
      <c r="I112" s="39"/>
      <c r="J112" s="36"/>
      <c r="K112" s="37"/>
      <c r="L112" s="31"/>
      <c r="M112" s="72"/>
      <c r="N112" s="73"/>
      <c r="O112" s="74"/>
      <c r="P112" s="75"/>
      <c r="Q112" s="76"/>
      <c r="S112" s="110"/>
      <c r="T112" s="114"/>
      <c r="U112" s="12"/>
      <c r="V112" s="12"/>
      <c r="W112" s="19"/>
      <c r="X112" s="111"/>
    </row>
    <row r="113" spans="1:24" ht="12.75" hidden="1" outlineLevel="1">
      <c r="A113" s="60"/>
      <c r="B113" s="61"/>
      <c r="C113" s="64"/>
      <c r="D113" s="63"/>
      <c r="E113" s="38"/>
      <c r="F113" s="33"/>
      <c r="G113" s="34"/>
      <c r="H113" s="39"/>
      <c r="I113" s="39"/>
      <c r="J113" s="36"/>
      <c r="K113" s="37"/>
      <c r="L113" s="31"/>
      <c r="M113" s="72"/>
      <c r="N113" s="73"/>
      <c r="O113" s="74"/>
      <c r="P113" s="75"/>
      <c r="Q113" s="76"/>
      <c r="S113" s="110"/>
      <c r="T113" s="114"/>
      <c r="U113" s="12"/>
      <c r="V113" s="12"/>
      <c r="W113" s="19"/>
      <c r="X113" s="111"/>
    </row>
    <row r="114" spans="1:24" ht="12.75" hidden="1" outlineLevel="1">
      <c r="A114" s="60"/>
      <c r="B114" s="61"/>
      <c r="C114" s="64"/>
      <c r="D114" s="65">
        <f>SUM(D108:D113)</f>
        <v>60.4</v>
      </c>
      <c r="E114" s="38"/>
      <c r="F114" s="33"/>
      <c r="G114" s="34"/>
      <c r="H114" s="39"/>
      <c r="I114" s="39"/>
      <c r="J114" s="36"/>
      <c r="K114" s="37"/>
      <c r="L114" s="31"/>
      <c r="M114" s="72"/>
      <c r="N114" s="73"/>
      <c r="O114" s="74"/>
      <c r="P114" s="75"/>
      <c r="Q114" s="76"/>
      <c r="S114" s="110"/>
      <c r="T114" s="114"/>
      <c r="U114" s="12"/>
      <c r="V114" s="12"/>
      <c r="W114" s="19"/>
      <c r="X114" s="111"/>
    </row>
    <row r="115" spans="1:24" ht="12.75" hidden="1" outlineLevel="1">
      <c r="A115" s="60"/>
      <c r="B115" s="61"/>
      <c r="C115" s="64"/>
      <c r="D115" s="63"/>
      <c r="E115" s="38"/>
      <c r="F115" s="33"/>
      <c r="G115" s="34"/>
      <c r="H115" s="39"/>
      <c r="I115" s="39"/>
      <c r="J115" s="36">
        <f t="shared" si="7"/>
      </c>
      <c r="K115" s="37">
        <f>+IF(F115="item",J115,IF(F115&lt;&gt;0,F115*J115,""))</f>
      </c>
      <c r="L115" s="31"/>
      <c r="M115" s="72"/>
      <c r="N115" s="73"/>
      <c r="O115" s="74"/>
      <c r="P115" s="75">
        <f>+IF(M115="item",O115,IF(M115&lt;&gt;0,M115*O115,""))</f>
      </c>
      <c r="Q115" s="76"/>
      <c r="S115" s="110"/>
      <c r="T115" s="12"/>
      <c r="U115" s="12"/>
      <c r="V115" s="12"/>
      <c r="W115" s="19"/>
      <c r="X115" s="111"/>
    </row>
    <row r="116" spans="1:24" ht="12.75" hidden="1" outlineLevel="1">
      <c r="A116" s="60"/>
      <c r="B116" s="61"/>
      <c r="C116" s="64"/>
      <c r="D116" s="63"/>
      <c r="E116" s="38" t="s">
        <v>61</v>
      </c>
      <c r="F116" s="33">
        <f>+F103</f>
        <v>48</v>
      </c>
      <c r="G116" s="34" t="s">
        <v>35</v>
      </c>
      <c r="H116" s="39">
        <v>0.08</v>
      </c>
      <c r="I116" s="39">
        <f>+underlay</f>
        <v>1.6679999999999997</v>
      </c>
      <c r="J116" s="36">
        <f t="shared" si="7"/>
        <v>4.068</v>
      </c>
      <c r="K116" s="37">
        <f>+IF(F116="item",J116,IF(F116&lt;&gt;0,F116*J116,""))</f>
        <v>195.26399999999998</v>
      </c>
      <c r="L116" s="31"/>
      <c r="M116" s="72"/>
      <c r="N116" s="73"/>
      <c r="O116" s="74"/>
      <c r="P116" s="75">
        <f>+IF(M116="item",O116,IF(M116&lt;&gt;0,M116*O116,""))</f>
      </c>
      <c r="Q116" s="76"/>
      <c r="S116" s="110" t="str">
        <f>+E116</f>
        <v>Wool mix underlay</v>
      </c>
      <c r="T116" s="114">
        <f>+K116</f>
        <v>195.26399999999998</v>
      </c>
      <c r="U116" s="12"/>
      <c r="V116" s="12">
        <v>15</v>
      </c>
      <c r="W116" s="19">
        <f>ROUND(+IF(V116&gt;0,T116/V116,""),2)</f>
        <v>13.02</v>
      </c>
      <c r="X116" s="111"/>
    </row>
    <row r="117" spans="1:24" ht="12.75" hidden="1" outlineLevel="1">
      <c r="A117" s="60"/>
      <c r="B117" s="61"/>
      <c r="C117" s="64"/>
      <c r="D117" s="63"/>
      <c r="E117" s="38"/>
      <c r="F117" s="33"/>
      <c r="G117" s="34"/>
      <c r="H117" s="39"/>
      <c r="I117" s="39"/>
      <c r="J117" s="36"/>
      <c r="K117" s="37"/>
      <c r="L117" s="31"/>
      <c r="M117" s="72"/>
      <c r="N117" s="73"/>
      <c r="O117" s="74"/>
      <c r="P117" s="75"/>
      <c r="Q117" s="76"/>
      <c r="S117" s="110"/>
      <c r="T117" s="114"/>
      <c r="U117" s="12"/>
      <c r="V117" s="12"/>
      <c r="W117" s="19"/>
      <c r="X117" s="111"/>
    </row>
    <row r="118" spans="1:24" ht="12.75" hidden="1" outlineLevel="1">
      <c r="A118" s="60"/>
      <c r="B118" s="61"/>
      <c r="C118" s="64"/>
      <c r="D118" s="63"/>
      <c r="E118" s="38" t="s">
        <v>362</v>
      </c>
      <c r="F118" s="33">
        <v>10</v>
      </c>
      <c r="G118" s="34" t="s">
        <v>363</v>
      </c>
      <c r="H118" s="39"/>
      <c r="I118" s="39"/>
      <c r="J118" s="36">
        <f>SUM(K102:K117)</f>
        <v>513.264</v>
      </c>
      <c r="K118" s="37">
        <f>+J118*F118%</f>
        <v>51.32640000000001</v>
      </c>
      <c r="L118" s="31"/>
      <c r="M118" s="72"/>
      <c r="N118" s="73"/>
      <c r="O118" s="74"/>
      <c r="P118" s="75"/>
      <c r="Q118" s="76"/>
      <c r="S118" s="110"/>
      <c r="T118" s="114"/>
      <c r="U118" s="12"/>
      <c r="V118" s="12"/>
      <c r="W118" s="19"/>
      <c r="X118" s="111"/>
    </row>
    <row r="119" spans="1:24" ht="12.75" hidden="1" outlineLevel="1">
      <c r="A119" s="60"/>
      <c r="B119" s="61"/>
      <c r="C119" s="64"/>
      <c r="D119" s="63"/>
      <c r="E119" s="38"/>
      <c r="F119" s="33"/>
      <c r="G119" s="34"/>
      <c r="H119" s="39"/>
      <c r="I119" s="39"/>
      <c r="J119" s="36">
        <f t="shared" si="7"/>
      </c>
      <c r="K119" s="37">
        <f>+IF(F119="item",J119,IF(F119&lt;&gt;0,F119*J119,""))</f>
      </c>
      <c r="L119" s="31"/>
      <c r="M119" s="72"/>
      <c r="N119" s="73"/>
      <c r="O119" s="74"/>
      <c r="P119" s="75">
        <f>+IF(M119="item",O119,IF(M119&lt;&gt;0,M119*O119,""))</f>
      </c>
      <c r="Q119" s="76"/>
      <c r="S119" s="110"/>
      <c r="T119" s="12"/>
      <c r="U119" s="12"/>
      <c r="V119" s="12"/>
      <c r="W119" s="19"/>
      <c r="X119" s="111"/>
    </row>
    <row r="120" spans="1:24" ht="12.75" collapsed="1">
      <c r="A120" s="60"/>
      <c r="B120" s="61"/>
      <c r="C120" s="64"/>
      <c r="D120" s="63"/>
      <c r="E120" s="38"/>
      <c r="F120" s="33"/>
      <c r="G120" s="34"/>
      <c r="H120" s="39"/>
      <c r="I120" s="39"/>
      <c r="J120" s="36">
        <f t="shared" si="7"/>
      </c>
      <c r="K120" s="37">
        <f>+IF(F120="item",J120,IF(F120&lt;&gt;0,F120*J120,""))</f>
      </c>
      <c r="L120" s="31"/>
      <c r="M120" s="33"/>
      <c r="N120" s="34"/>
      <c r="O120" s="36"/>
      <c r="P120" s="37">
        <f>+IF(M120="item",O120,IF(M120&lt;&gt;0,M120*O120,""))</f>
      </c>
      <c r="Q120" s="54"/>
      <c r="S120" s="110"/>
      <c r="T120" s="12"/>
      <c r="U120" s="12"/>
      <c r="V120" s="12"/>
      <c r="W120" s="19"/>
      <c r="X120" s="111"/>
    </row>
    <row r="121" spans="1:24" ht="12.75">
      <c r="A121" s="60"/>
      <c r="B121" s="61"/>
      <c r="C121" s="64"/>
      <c r="D121" s="63"/>
      <c r="E121" s="32" t="s">
        <v>90</v>
      </c>
      <c r="F121" s="33"/>
      <c r="G121" s="34"/>
      <c r="H121" s="39"/>
      <c r="I121" s="39"/>
      <c r="J121" s="36">
        <f t="shared" si="7"/>
      </c>
      <c r="K121" s="53">
        <f>SUM(K122:K124)</f>
        <v>1170</v>
      </c>
      <c r="L121" s="31" t="s">
        <v>66</v>
      </c>
      <c r="M121" s="33"/>
      <c r="N121" s="34"/>
      <c r="O121" s="36"/>
      <c r="P121" s="53">
        <f>SUM(P122:P124)</f>
        <v>900</v>
      </c>
      <c r="Q121" s="54" t="s">
        <v>66</v>
      </c>
      <c r="S121" s="110" t="s">
        <v>261</v>
      </c>
      <c r="T121" s="114">
        <f>+K121</f>
        <v>1170</v>
      </c>
      <c r="U121" s="12"/>
      <c r="V121" s="12">
        <v>15</v>
      </c>
      <c r="W121" s="112">
        <f>ROUND(+IF(V121&gt;0,T121/V121,""),2)</f>
        <v>78</v>
      </c>
      <c r="X121" s="111"/>
    </row>
    <row r="122" spans="1:24" ht="51" hidden="1" outlineLevel="1">
      <c r="A122" s="60"/>
      <c r="B122" s="61"/>
      <c r="C122" s="64"/>
      <c r="D122" s="63"/>
      <c r="E122" s="38"/>
      <c r="F122" s="33"/>
      <c r="G122" s="34"/>
      <c r="H122" s="39"/>
      <c r="I122" s="39"/>
      <c r="J122" s="36">
        <f t="shared" si="7"/>
      </c>
      <c r="K122" s="37">
        <f>+IF(F122="item",J122,IF(F122&lt;&gt;0,F122*J122,""))</f>
      </c>
      <c r="L122" s="69" t="s">
        <v>65</v>
      </c>
      <c r="M122" s="33"/>
      <c r="N122" s="34"/>
      <c r="O122" s="36"/>
      <c r="P122" s="37">
        <f aca="true" t="shared" si="8" ref="P122:P131">+IF(M122="item",O122,IF(M122&lt;&gt;0,M122*O122,""))</f>
      </c>
      <c r="Q122" s="54"/>
      <c r="S122" s="110"/>
      <c r="T122" s="12"/>
      <c r="U122" s="12"/>
      <c r="V122" s="12"/>
      <c r="W122" s="19"/>
      <c r="X122" s="111"/>
    </row>
    <row r="123" spans="1:24" ht="12.75" hidden="1" outlineLevel="1">
      <c r="A123" s="60"/>
      <c r="B123" s="61"/>
      <c r="C123" s="64"/>
      <c r="D123" s="63"/>
      <c r="E123" s="38"/>
      <c r="F123" s="33">
        <v>12</v>
      </c>
      <c r="G123" s="34" t="s">
        <v>8</v>
      </c>
      <c r="H123" s="39">
        <v>0.75</v>
      </c>
      <c r="I123" s="39">
        <v>75</v>
      </c>
      <c r="J123" s="36">
        <f t="shared" si="7"/>
        <v>97.5</v>
      </c>
      <c r="K123" s="37">
        <f>+IF(F123="item",J123,IF(F123&lt;&gt;0,F123*J123,""))</f>
        <v>1170</v>
      </c>
      <c r="L123" s="91" t="s">
        <v>67</v>
      </c>
      <c r="M123" s="33">
        <f>+F123</f>
        <v>12</v>
      </c>
      <c r="N123" s="34" t="s">
        <v>8</v>
      </c>
      <c r="O123" s="36">
        <f>+I123</f>
        <v>75</v>
      </c>
      <c r="P123" s="37">
        <f t="shared" si="8"/>
        <v>900</v>
      </c>
      <c r="Q123" s="54"/>
      <c r="S123" s="110"/>
      <c r="T123" s="12"/>
      <c r="U123" s="12"/>
      <c r="V123" s="12"/>
      <c r="W123" s="19"/>
      <c r="X123" s="111"/>
    </row>
    <row r="124" spans="1:24" ht="25.5" hidden="1" outlineLevel="1">
      <c r="A124" s="60"/>
      <c r="B124" s="61"/>
      <c r="C124" s="64"/>
      <c r="D124" s="63"/>
      <c r="E124" s="40"/>
      <c r="F124" s="33"/>
      <c r="G124" s="34"/>
      <c r="H124" s="39"/>
      <c r="I124" s="39"/>
      <c r="J124" s="36">
        <f t="shared" si="7"/>
      </c>
      <c r="K124" s="37">
        <f>+IF(F124="item",J124,IF(F124&lt;&gt;0,F124*J124,""))</f>
      </c>
      <c r="L124" s="31" t="s">
        <v>345</v>
      </c>
      <c r="M124" s="33"/>
      <c r="N124" s="34"/>
      <c r="O124" s="36"/>
      <c r="P124" s="37">
        <f t="shared" si="8"/>
      </c>
      <c r="Q124" s="54"/>
      <c r="S124" s="110"/>
      <c r="T124" s="12"/>
      <c r="U124" s="12"/>
      <c r="V124" s="12"/>
      <c r="W124" s="19"/>
      <c r="X124" s="111"/>
    </row>
    <row r="125" spans="1:24" ht="12.75" collapsed="1">
      <c r="A125" s="60"/>
      <c r="B125" s="61"/>
      <c r="C125" s="64"/>
      <c r="D125" s="63"/>
      <c r="E125" s="41"/>
      <c r="F125" s="33"/>
      <c r="G125" s="34"/>
      <c r="H125" s="39"/>
      <c r="I125" s="39"/>
      <c r="J125" s="36">
        <f t="shared" si="7"/>
      </c>
      <c r="K125" s="37">
        <f>+IF(F125="item",J125,IF(F125&lt;&gt;0,F125*J125,""))</f>
      </c>
      <c r="L125" s="31"/>
      <c r="M125" s="33"/>
      <c r="N125" s="34"/>
      <c r="O125" s="36"/>
      <c r="P125" s="37">
        <f t="shared" si="8"/>
      </c>
      <c r="Q125" s="54"/>
      <c r="S125" s="110"/>
      <c r="T125" s="12"/>
      <c r="U125" s="12"/>
      <c r="V125" s="12"/>
      <c r="W125" s="19"/>
      <c r="X125" s="111"/>
    </row>
    <row r="126" spans="1:24" ht="12.75">
      <c r="A126" s="60"/>
      <c r="B126" s="61"/>
      <c r="C126" s="64"/>
      <c r="D126" s="63"/>
      <c r="E126" s="38"/>
      <c r="F126" s="33"/>
      <c r="G126" s="34"/>
      <c r="H126" s="39"/>
      <c r="I126" s="39"/>
      <c r="J126" s="36">
        <f t="shared" si="7"/>
      </c>
      <c r="K126" s="37">
        <f>+IF(F126="item",J126,IF(F126&lt;&gt;0,F126*J126,""))</f>
      </c>
      <c r="L126" s="31"/>
      <c r="M126" s="33"/>
      <c r="N126" s="34"/>
      <c r="O126" s="36"/>
      <c r="P126" s="37">
        <f t="shared" si="8"/>
      </c>
      <c r="Q126" s="54"/>
      <c r="S126" s="110"/>
      <c r="T126" s="12"/>
      <c r="U126" s="12"/>
      <c r="V126" s="12"/>
      <c r="W126" s="19"/>
      <c r="X126" s="111"/>
    </row>
    <row r="127" spans="1:24" ht="12.75">
      <c r="A127" s="60"/>
      <c r="B127" s="61"/>
      <c r="C127" s="64"/>
      <c r="D127" s="63"/>
      <c r="E127" s="32" t="s">
        <v>91</v>
      </c>
      <c r="F127" s="33"/>
      <c r="G127" s="34"/>
      <c r="H127" s="39"/>
      <c r="I127" s="39"/>
      <c r="J127" s="36">
        <f t="shared" si="7"/>
      </c>
      <c r="K127" s="53">
        <f>SUM(K128:K129)</f>
        <v>10614</v>
      </c>
      <c r="L127" s="31"/>
      <c r="M127" s="72"/>
      <c r="N127" s="73"/>
      <c r="O127" s="74"/>
      <c r="P127" s="75">
        <f t="shared" si="8"/>
      </c>
      <c r="Q127" s="76"/>
      <c r="S127" s="110"/>
      <c r="T127" s="12"/>
      <c r="U127" s="12"/>
      <c r="V127" s="12"/>
      <c r="W127" s="112">
        <f>SUM(W128:W129)</f>
        <v>353.8</v>
      </c>
      <c r="X127" s="111"/>
    </row>
    <row r="128" spans="1:24" ht="12.75" hidden="1" outlineLevel="1">
      <c r="A128" s="60"/>
      <c r="B128" s="61"/>
      <c r="C128" s="64"/>
      <c r="D128" s="63"/>
      <c r="E128" s="38"/>
      <c r="F128" s="33"/>
      <c r="G128" s="34"/>
      <c r="H128" s="39"/>
      <c r="I128" s="39"/>
      <c r="J128" s="36">
        <f t="shared" si="7"/>
      </c>
      <c r="K128" s="37">
        <f>+IF(F128="item",J128,IF(F128&lt;&gt;0,F128*J128,""))</f>
      </c>
      <c r="L128" s="31"/>
      <c r="M128" s="72"/>
      <c r="N128" s="73"/>
      <c r="O128" s="74"/>
      <c r="P128" s="75">
        <f t="shared" si="8"/>
      </c>
      <c r="Q128" s="76"/>
      <c r="S128" s="110"/>
      <c r="T128" s="12"/>
      <c r="U128" s="12"/>
      <c r="V128" s="12"/>
      <c r="W128" s="19"/>
      <c r="X128" s="111"/>
    </row>
    <row r="129" spans="1:24" ht="12.75" hidden="1" outlineLevel="1">
      <c r="A129" s="60"/>
      <c r="B129" s="61"/>
      <c r="C129" s="64"/>
      <c r="D129" s="63"/>
      <c r="E129" s="38" t="s">
        <v>68</v>
      </c>
      <c r="F129" s="45" t="s">
        <v>1</v>
      </c>
      <c r="G129" s="42"/>
      <c r="H129" s="43"/>
      <c r="I129" s="43"/>
      <c r="J129" s="136">
        <f>8845*1.2</f>
        <v>10614</v>
      </c>
      <c r="K129" s="148">
        <f>+IF(F129="item",J129,IF(F129&lt;&gt;0,F129*J129,""))</f>
        <v>10614</v>
      </c>
      <c r="L129" s="31" t="s">
        <v>346</v>
      </c>
      <c r="M129" s="72"/>
      <c r="N129" s="73"/>
      <c r="O129" s="74"/>
      <c r="P129" s="75">
        <f t="shared" si="8"/>
      </c>
      <c r="Q129" s="76"/>
      <c r="S129" s="110" t="str">
        <f>+E129</f>
        <v>Storm windows</v>
      </c>
      <c r="T129" s="114">
        <f>+K129</f>
        <v>10614</v>
      </c>
      <c r="U129" s="12"/>
      <c r="V129" s="12">
        <v>30</v>
      </c>
      <c r="W129" s="19">
        <f>ROUND(+IF(V129&gt;0,T129/V129,""),2)</f>
        <v>353.8</v>
      </c>
      <c r="X129" s="111"/>
    </row>
    <row r="130" spans="1:24" ht="12.75" hidden="1" outlineLevel="1">
      <c r="A130" s="60"/>
      <c r="B130" s="66"/>
      <c r="C130" s="64"/>
      <c r="D130" s="63"/>
      <c r="E130" s="38"/>
      <c r="F130" s="33"/>
      <c r="G130" s="34"/>
      <c r="H130" s="39"/>
      <c r="I130" s="39"/>
      <c r="J130" s="36">
        <f>IF(+I130+H130&gt;0,I130+(H130*labour),"")</f>
      </c>
      <c r="K130" s="37">
        <f>+IF(F130="item",J130,IF(F130&lt;&gt;0,F130*J130,""))</f>
      </c>
      <c r="L130" s="31"/>
      <c r="M130" s="33"/>
      <c r="N130" s="34"/>
      <c r="O130" s="36"/>
      <c r="P130" s="37">
        <f t="shared" si="8"/>
      </c>
      <c r="Q130" s="54"/>
      <c r="S130" s="110"/>
      <c r="T130" s="12"/>
      <c r="U130" s="12"/>
      <c r="V130" s="12"/>
      <c r="W130" s="19"/>
      <c r="X130" s="111"/>
    </row>
    <row r="131" spans="1:24" ht="12.75" collapsed="1">
      <c r="A131" s="60"/>
      <c r="B131" s="61"/>
      <c r="C131" s="64"/>
      <c r="D131" s="63"/>
      <c r="E131" s="38"/>
      <c r="F131" s="33"/>
      <c r="G131" s="34"/>
      <c r="H131" s="39"/>
      <c r="I131" s="39"/>
      <c r="J131" s="36">
        <f>IF(+I131+H131&gt;0,I131+(H131*labour),"")</f>
      </c>
      <c r="K131" s="37">
        <f>+IF(F131="item",J131,IF(F131&lt;&gt;0,F131*J131,""))</f>
      </c>
      <c r="L131" s="31"/>
      <c r="M131" s="33"/>
      <c r="N131" s="34"/>
      <c r="O131" s="36"/>
      <c r="P131" s="37">
        <f t="shared" si="8"/>
      </c>
      <c r="Q131" s="54"/>
      <c r="S131" s="110"/>
      <c r="T131" s="12"/>
      <c r="U131" s="12"/>
      <c r="V131" s="12"/>
      <c r="W131" s="19"/>
      <c r="X131" s="111"/>
    </row>
    <row r="132" spans="1:24" ht="15.75">
      <c r="A132" s="60"/>
      <c r="B132" s="61"/>
      <c r="C132" s="64"/>
      <c r="D132" s="63"/>
      <c r="E132" s="78" t="s">
        <v>92</v>
      </c>
      <c r="F132" s="79"/>
      <c r="G132" s="80"/>
      <c r="H132" s="81"/>
      <c r="I132" s="81"/>
      <c r="J132" s="82"/>
      <c r="K132" s="83"/>
      <c r="L132" s="84"/>
      <c r="M132" s="79"/>
      <c r="N132" s="80"/>
      <c r="O132" s="82"/>
      <c r="P132" s="83"/>
      <c r="Q132" s="85"/>
      <c r="S132" s="110"/>
      <c r="T132" s="12"/>
      <c r="U132" s="12"/>
      <c r="V132" s="12"/>
      <c r="W132" s="19"/>
      <c r="X132" s="111"/>
    </row>
    <row r="133" spans="1:24" ht="12.75">
      <c r="A133" s="60"/>
      <c r="B133" s="61"/>
      <c r="C133" s="64"/>
      <c r="D133" s="63"/>
      <c r="E133" s="38"/>
      <c r="F133" s="33"/>
      <c r="G133" s="34"/>
      <c r="H133" s="39"/>
      <c r="I133" s="39"/>
      <c r="J133" s="36"/>
      <c r="K133" s="37"/>
      <c r="L133" s="31"/>
      <c r="M133" s="33"/>
      <c r="N133" s="34"/>
      <c r="O133" s="36"/>
      <c r="P133" s="37"/>
      <c r="Q133" s="54"/>
      <c r="S133" s="110"/>
      <c r="T133" s="12"/>
      <c r="U133" s="12"/>
      <c r="V133" s="12"/>
      <c r="W133" s="19"/>
      <c r="X133" s="111"/>
    </row>
    <row r="134" spans="1:24" ht="63.75">
      <c r="A134" s="60"/>
      <c r="B134" s="61"/>
      <c r="C134" s="64"/>
      <c r="D134" s="63"/>
      <c r="E134" s="32" t="s">
        <v>93</v>
      </c>
      <c r="F134" s="33"/>
      <c r="G134" s="34"/>
      <c r="H134" s="39"/>
      <c r="I134" s="39"/>
      <c r="J134" s="36">
        <f>IF(+I134+H134&gt;0,I134+(H134*labour),"")</f>
      </c>
      <c r="K134" s="37"/>
      <c r="L134" s="31" t="s">
        <v>94</v>
      </c>
      <c r="M134" s="33"/>
      <c r="N134" s="34"/>
      <c r="O134" s="36"/>
      <c r="P134" s="37">
        <f>+IF(M134="item",O134,IF(M134&lt;&gt;0,M134*O134,""))</f>
      </c>
      <c r="Q134" s="54"/>
      <c r="S134" s="110"/>
      <c r="T134" s="12"/>
      <c r="U134" s="12"/>
      <c r="V134" s="12"/>
      <c r="W134" s="115">
        <v>0</v>
      </c>
      <c r="X134" s="111"/>
    </row>
    <row r="135" spans="1:24" ht="12.75">
      <c r="A135" s="60"/>
      <c r="B135" s="61"/>
      <c r="C135" s="64"/>
      <c r="D135" s="63"/>
      <c r="E135" s="32"/>
      <c r="F135" s="33"/>
      <c r="G135" s="34"/>
      <c r="H135" s="39"/>
      <c r="I135" s="39"/>
      <c r="J135" s="36"/>
      <c r="K135" s="37"/>
      <c r="L135" s="31"/>
      <c r="M135" s="33"/>
      <c r="N135" s="34"/>
      <c r="O135" s="36"/>
      <c r="P135" s="37"/>
      <c r="Q135" s="54"/>
      <c r="S135" s="110"/>
      <c r="T135" s="12"/>
      <c r="U135" s="12"/>
      <c r="V135" s="12"/>
      <c r="W135" s="19"/>
      <c r="X135" s="111"/>
    </row>
    <row r="136" spans="1:24" ht="12.75">
      <c r="A136" s="60"/>
      <c r="B136" s="61"/>
      <c r="C136" s="64"/>
      <c r="D136" s="63"/>
      <c r="E136" s="38"/>
      <c r="F136" s="33"/>
      <c r="G136" s="42"/>
      <c r="H136" s="43"/>
      <c r="I136" s="43"/>
      <c r="J136" s="36">
        <f>IF(+I136+H136&gt;0,I136+(H136*labour),"")</f>
      </c>
      <c r="K136" s="37">
        <f>+IF(F136="item",J136,IF(F136&lt;&gt;0,F136*J136,""))</f>
      </c>
      <c r="L136" s="31"/>
      <c r="M136" s="33"/>
      <c r="N136" s="42"/>
      <c r="O136" s="36"/>
      <c r="P136" s="37">
        <f>+IF(M136="item",O136,IF(M136&lt;&gt;0,M136*O136,""))</f>
      </c>
      <c r="Q136" s="54"/>
      <c r="S136" s="110"/>
      <c r="T136" s="12"/>
      <c r="U136" s="12"/>
      <c r="V136" s="12"/>
      <c r="W136" s="19"/>
      <c r="X136" s="111"/>
    </row>
    <row r="137" spans="1:24" ht="25.5">
      <c r="A137" s="60"/>
      <c r="B137" s="61"/>
      <c r="C137" s="64"/>
      <c r="D137" s="65"/>
      <c r="E137" s="77" t="s">
        <v>95</v>
      </c>
      <c r="F137" s="33"/>
      <c r="G137" s="42"/>
      <c r="H137" s="43"/>
      <c r="I137" s="43"/>
      <c r="J137" s="36">
        <f>IF(+I137+H137&gt;0,I137+(H137*labour),"")</f>
      </c>
      <c r="K137" s="53">
        <f>SUM(K139:K154)</f>
        <v>3582.035861052632</v>
      </c>
      <c r="L137" s="31"/>
      <c r="M137" s="33"/>
      <c r="N137" s="42"/>
      <c r="O137" s="36"/>
      <c r="P137" s="53">
        <f>SUM(P139:P154)</f>
        <v>1318.7962373205742</v>
      </c>
      <c r="Q137" s="54"/>
      <c r="S137" s="110"/>
      <c r="T137" s="12"/>
      <c r="U137" s="12"/>
      <c r="V137" s="12"/>
      <c r="W137" s="112">
        <f>SUM(W138:W154)</f>
        <v>130.25</v>
      </c>
      <c r="X137" s="111"/>
    </row>
    <row r="138" spans="1:24" ht="12.75" hidden="1" outlineLevel="1">
      <c r="A138" s="60"/>
      <c r="B138" s="61"/>
      <c r="C138" s="64"/>
      <c r="D138" s="63"/>
      <c r="E138" s="44"/>
      <c r="F138" s="33"/>
      <c r="G138" s="42"/>
      <c r="H138" s="43"/>
      <c r="I138" s="43"/>
      <c r="J138" s="36">
        <f>IF(+I138+H138&gt;0,I138+(H138*labour),"")</f>
      </c>
      <c r="K138" s="37">
        <f>+IF(F138="item",J138,IF(F138&lt;&gt;0,F138*J138,""))</f>
      </c>
      <c r="L138" s="31"/>
      <c r="M138" s="33"/>
      <c r="N138" s="42"/>
      <c r="O138" s="36"/>
      <c r="P138" s="37">
        <f>+IF(M138="item",O138,IF(M138&lt;&gt;0,M138*O138,""))</f>
      </c>
      <c r="Q138" s="54"/>
      <c r="S138" s="110"/>
      <c r="T138" s="12"/>
      <c r="U138" s="12"/>
      <c r="V138" s="12"/>
      <c r="W138" s="19"/>
      <c r="X138" s="111"/>
    </row>
    <row r="139" spans="1:24" ht="12.75" hidden="1" outlineLevel="1">
      <c r="A139" s="60"/>
      <c r="B139" s="61"/>
      <c r="C139" s="64"/>
      <c r="D139" s="63"/>
      <c r="E139" s="44" t="s">
        <v>71</v>
      </c>
      <c r="F139" s="45">
        <f>+F116</f>
        <v>48</v>
      </c>
      <c r="G139" s="42" t="s">
        <v>35</v>
      </c>
      <c r="H139" s="43"/>
      <c r="I139" s="43"/>
      <c r="J139" s="36">
        <f>8*1.2</f>
        <v>9.6</v>
      </c>
      <c r="K139" s="37">
        <f>+IF(F139="item",J139,IF(F139&lt;&gt;0,F139*J139,""))</f>
        <v>460.79999999999995</v>
      </c>
      <c r="L139" s="31"/>
      <c r="M139" s="45">
        <f>+F139</f>
        <v>48</v>
      </c>
      <c r="N139" s="42" t="s">
        <v>35</v>
      </c>
      <c r="O139" s="36"/>
      <c r="P139" s="37">
        <f>+IF(M139="item",O139,IF(M139&lt;&gt;0,M139*O139,""))</f>
        <v>0</v>
      </c>
      <c r="Q139" s="54"/>
      <c r="S139" s="110" t="str">
        <f>+E139</f>
        <v>Remove floorboards and set aside</v>
      </c>
      <c r="T139" s="114">
        <f>+K139</f>
        <v>460.79999999999995</v>
      </c>
      <c r="U139" s="12"/>
      <c r="V139" s="12">
        <v>25</v>
      </c>
      <c r="W139" s="19">
        <f>ROUND(+IF(V139&gt;0,T139/V139,""),2)</f>
        <v>18.43</v>
      </c>
      <c r="X139" s="111"/>
    </row>
    <row r="140" spans="1:24" ht="12.75" hidden="1" outlineLevel="1">
      <c r="A140" s="60"/>
      <c r="B140" s="61"/>
      <c r="C140" s="64"/>
      <c r="D140" s="63"/>
      <c r="E140" s="44"/>
      <c r="F140" s="45"/>
      <c r="G140" s="42"/>
      <c r="H140" s="43"/>
      <c r="I140" s="43"/>
      <c r="J140" s="36"/>
      <c r="K140" s="37"/>
      <c r="L140" s="31"/>
      <c r="M140" s="45"/>
      <c r="N140" s="42"/>
      <c r="O140" s="36"/>
      <c r="P140" s="37"/>
      <c r="Q140" s="54"/>
      <c r="S140" s="110"/>
      <c r="T140" s="12"/>
      <c r="U140" s="12"/>
      <c r="V140" s="12"/>
      <c r="W140" s="19"/>
      <c r="X140" s="111"/>
    </row>
    <row r="141" spans="1:24" ht="12.75" hidden="1" outlineLevel="1">
      <c r="A141" s="60"/>
      <c r="B141" s="61"/>
      <c r="C141" s="64"/>
      <c r="D141" s="63"/>
      <c r="E141" s="38" t="s">
        <v>72</v>
      </c>
      <c r="F141" s="45">
        <f>ROUND(+F139*1.2,0)</f>
        <v>58</v>
      </c>
      <c r="G141" s="42" t="s">
        <v>35</v>
      </c>
      <c r="H141" s="43">
        <v>0.1</v>
      </c>
      <c r="I141" s="43">
        <f>netlon</f>
        <v>0.4648000000000001</v>
      </c>
      <c r="J141" s="36">
        <f aca="true" t="shared" si="9" ref="J141:J148">IF(+I141+H141&gt;0,I141+(H141*labour),"")</f>
        <v>3.4648000000000003</v>
      </c>
      <c r="K141" s="37">
        <f aca="true" t="shared" si="10" ref="K141:K155">+IF(F141="item",J141,IF(F141&lt;&gt;0,F141*J141,""))</f>
        <v>200.9584</v>
      </c>
      <c r="L141" s="31"/>
      <c r="M141" s="45">
        <f>+F141</f>
        <v>58</v>
      </c>
      <c r="N141" s="42" t="s">
        <v>35</v>
      </c>
      <c r="O141" s="36">
        <f>+I141</f>
        <v>0.4648000000000001</v>
      </c>
      <c r="P141" s="37">
        <f aca="true" t="shared" si="11" ref="P141:P165">+IF(M141="item",O141,IF(M141&lt;&gt;0,M141*O141,""))</f>
        <v>26.958400000000005</v>
      </c>
      <c r="Q141" s="54"/>
      <c r="S141" s="110" t="str">
        <f>+E141</f>
        <v>Netlon netting trays</v>
      </c>
      <c r="T141" s="114">
        <f>+K141</f>
        <v>200.9584</v>
      </c>
      <c r="U141" s="12"/>
      <c r="V141" s="12">
        <v>25</v>
      </c>
      <c r="W141" s="19">
        <f>ROUND(+IF(V141&gt;0,T141/V141,""),2)</f>
        <v>8.04</v>
      </c>
      <c r="X141" s="111"/>
    </row>
    <row r="142" spans="1:24" ht="12.75" hidden="1" outlineLevel="1">
      <c r="A142" s="60"/>
      <c r="B142" s="61"/>
      <c r="C142" s="64"/>
      <c r="D142" s="63"/>
      <c r="F142" s="45"/>
      <c r="G142" s="42"/>
      <c r="H142" s="43"/>
      <c r="I142" s="43"/>
      <c r="J142" s="36">
        <f t="shared" si="9"/>
      </c>
      <c r="K142" s="37">
        <f t="shared" si="10"/>
      </c>
      <c r="L142" s="31"/>
      <c r="M142" s="45"/>
      <c r="N142" s="42"/>
      <c r="O142" s="36"/>
      <c r="P142" s="37">
        <f t="shared" si="11"/>
      </c>
      <c r="Q142" s="54"/>
      <c r="S142" s="110"/>
      <c r="T142" s="12"/>
      <c r="U142" s="12"/>
      <c r="V142" s="12"/>
      <c r="W142" s="19"/>
      <c r="X142" s="111"/>
    </row>
    <row r="143" spans="1:24" ht="12.75" hidden="1" outlineLevel="1">
      <c r="A143" s="60"/>
      <c r="B143" s="61"/>
      <c r="C143" s="64"/>
      <c r="D143" s="63"/>
      <c r="E143" s="38" t="s">
        <v>76</v>
      </c>
      <c r="F143" s="45">
        <f>+F139</f>
        <v>48</v>
      </c>
      <c r="G143" s="42" t="s">
        <v>35</v>
      </c>
      <c r="H143" s="43">
        <v>0.13</v>
      </c>
      <c r="I143" s="43">
        <f>sheep</f>
        <v>11.300250000000002</v>
      </c>
      <c r="J143" s="36">
        <f t="shared" si="9"/>
        <v>15.200250000000002</v>
      </c>
      <c r="K143" s="37">
        <f t="shared" si="10"/>
        <v>729.6120000000001</v>
      </c>
      <c r="L143" s="31"/>
      <c r="M143" s="45">
        <f>+F143</f>
        <v>48</v>
      </c>
      <c r="N143" s="42" t="s">
        <v>35</v>
      </c>
      <c r="O143" s="36">
        <f>+I143</f>
        <v>11.300250000000002</v>
      </c>
      <c r="P143" s="37">
        <f t="shared" si="11"/>
        <v>542.412</v>
      </c>
      <c r="Q143" s="54"/>
      <c r="S143" s="110" t="str">
        <f>+E143</f>
        <v>Sheepswool 100mm thick</v>
      </c>
      <c r="T143" s="114">
        <f>+K143</f>
        <v>729.6120000000001</v>
      </c>
      <c r="U143" s="12"/>
      <c r="V143" s="12">
        <v>25</v>
      </c>
      <c r="W143" s="19">
        <f>ROUND(+IF(V143&gt;0,T143/V143,""),2)</f>
        <v>29.18</v>
      </c>
      <c r="X143" s="111"/>
    </row>
    <row r="144" spans="1:24" ht="12.75" hidden="1" outlineLevel="1">
      <c r="A144" s="60"/>
      <c r="B144" s="61"/>
      <c r="C144" s="64"/>
      <c r="D144" s="63"/>
      <c r="E144" s="38"/>
      <c r="F144" s="45"/>
      <c r="G144" s="42"/>
      <c r="H144" s="43"/>
      <c r="I144" s="43"/>
      <c r="J144" s="36">
        <f t="shared" si="9"/>
      </c>
      <c r="K144" s="37">
        <f t="shared" si="10"/>
      </c>
      <c r="L144" s="31"/>
      <c r="M144" s="45"/>
      <c r="N144" s="42"/>
      <c r="O144" s="36"/>
      <c r="P144" s="37">
        <f t="shared" si="11"/>
      </c>
      <c r="Q144" s="54"/>
      <c r="S144" s="110"/>
      <c r="T144" s="12"/>
      <c r="U144" s="12"/>
      <c r="V144" s="12"/>
      <c r="W144" s="19"/>
      <c r="X144" s="111"/>
    </row>
    <row r="145" spans="1:24" ht="12.75" hidden="1" outlineLevel="1">
      <c r="A145" s="60"/>
      <c r="B145" s="61"/>
      <c r="C145" s="64"/>
      <c r="D145" s="63"/>
      <c r="E145" s="38" t="s">
        <v>79</v>
      </c>
      <c r="F145" s="45">
        <f>+F139</f>
        <v>48</v>
      </c>
      <c r="G145" s="42" t="s">
        <v>35</v>
      </c>
      <c r="H145" s="43">
        <v>0.74</v>
      </c>
      <c r="I145" s="43"/>
      <c r="J145" s="36">
        <f t="shared" si="9"/>
        <v>22.2</v>
      </c>
      <c r="K145" s="37">
        <f t="shared" si="10"/>
        <v>1065.6</v>
      </c>
      <c r="L145" s="31"/>
      <c r="M145" s="45">
        <f>+F145</f>
        <v>48</v>
      </c>
      <c r="N145" s="42" t="s">
        <v>35</v>
      </c>
      <c r="O145" s="36"/>
      <c r="P145" s="37">
        <f t="shared" si="11"/>
        <v>0</v>
      </c>
      <c r="Q145" s="54"/>
      <c r="S145" s="110" t="str">
        <f>+E145</f>
        <v>Refix boards</v>
      </c>
      <c r="T145" s="114">
        <f>+K145</f>
        <v>1065.6</v>
      </c>
      <c r="U145" s="12"/>
      <c r="V145" s="12">
        <v>25</v>
      </c>
      <c r="W145" s="19">
        <f>ROUND(+IF(V145&gt;0,T145/V145,""),2)</f>
        <v>42.62</v>
      </c>
      <c r="X145" s="111"/>
    </row>
    <row r="146" spans="1:24" ht="12.75" hidden="1" outlineLevel="1">
      <c r="A146" s="60"/>
      <c r="B146" s="61"/>
      <c r="C146" s="64"/>
      <c r="D146" s="63"/>
      <c r="E146" s="38"/>
      <c r="F146" s="45"/>
      <c r="G146" s="42"/>
      <c r="H146" s="43"/>
      <c r="I146" s="43"/>
      <c r="J146" s="36">
        <f t="shared" si="9"/>
      </c>
      <c r="K146" s="37">
        <f t="shared" si="10"/>
      </c>
      <c r="L146" s="31"/>
      <c r="M146" s="45"/>
      <c r="N146" s="42"/>
      <c r="O146" s="36"/>
      <c r="P146" s="37">
        <f t="shared" si="11"/>
      </c>
      <c r="Q146" s="54"/>
      <c r="S146" s="110"/>
      <c r="T146" s="12"/>
      <c r="U146" s="12"/>
      <c r="V146" s="12"/>
      <c r="W146" s="19"/>
      <c r="X146" s="111"/>
    </row>
    <row r="147" spans="1:24" ht="24.75" customHeight="1" hidden="1" outlineLevel="1">
      <c r="A147" s="60"/>
      <c r="B147" s="61"/>
      <c r="C147" s="64"/>
      <c r="D147" s="63"/>
      <c r="E147" s="38" t="s">
        <v>80</v>
      </c>
      <c r="F147" s="45">
        <f>+F145*0.2</f>
        <v>9.600000000000001</v>
      </c>
      <c r="G147" s="42" t="s">
        <v>35</v>
      </c>
      <c r="H147" s="43"/>
      <c r="I147" s="43">
        <f>vicboards</f>
        <v>62.440191387559814</v>
      </c>
      <c r="J147" s="36">
        <f t="shared" si="9"/>
        <v>62.440191387559814</v>
      </c>
      <c r="K147" s="37">
        <f t="shared" si="10"/>
        <v>599.4258373205743</v>
      </c>
      <c r="L147" s="31"/>
      <c r="M147" s="45">
        <f>+F147</f>
        <v>9.600000000000001</v>
      </c>
      <c r="N147" s="42" t="s">
        <v>35</v>
      </c>
      <c r="O147" s="36">
        <f>+I147</f>
        <v>62.440191387559814</v>
      </c>
      <c r="P147" s="37">
        <f t="shared" si="11"/>
        <v>599.4258373205743</v>
      </c>
      <c r="Q147" s="54"/>
      <c r="S147" s="110" t="str">
        <f>+E147</f>
        <v>Allowance for new boards to replace breakages (20%)</v>
      </c>
      <c r="T147" s="114">
        <f>+K147</f>
        <v>599.4258373205743</v>
      </c>
      <c r="U147" s="12"/>
      <c r="V147" s="12">
        <v>25</v>
      </c>
      <c r="W147" s="19">
        <f>ROUND(+IF(V147&gt;0,T147/V147,""),2)</f>
        <v>23.98</v>
      </c>
      <c r="X147" s="111"/>
    </row>
    <row r="148" spans="1:24" ht="12.75" hidden="1" outlineLevel="1">
      <c r="A148" s="60"/>
      <c r="B148" s="61"/>
      <c r="C148" s="64"/>
      <c r="D148" s="63"/>
      <c r="E148" s="38"/>
      <c r="F148" s="33"/>
      <c r="G148" s="34"/>
      <c r="H148" s="39"/>
      <c r="I148" s="39"/>
      <c r="J148" s="36">
        <f t="shared" si="9"/>
      </c>
      <c r="K148" s="37">
        <f t="shared" si="10"/>
      </c>
      <c r="L148" s="31"/>
      <c r="M148" s="33"/>
      <c r="N148" s="34"/>
      <c r="O148" s="36"/>
      <c r="P148" s="37">
        <f t="shared" si="11"/>
      </c>
      <c r="Q148" s="54"/>
      <c r="S148" s="110"/>
      <c r="T148" s="12"/>
      <c r="U148" s="12"/>
      <c r="V148" s="12"/>
      <c r="W148" s="19"/>
      <c r="X148" s="111"/>
    </row>
    <row r="149" spans="1:24" ht="12.75" hidden="1" outlineLevel="1">
      <c r="A149" s="60"/>
      <c r="B149" s="61"/>
      <c r="C149" s="64"/>
      <c r="D149" s="63"/>
      <c r="E149" s="38" t="s">
        <v>75</v>
      </c>
      <c r="F149" s="45" t="s">
        <v>1</v>
      </c>
      <c r="G149" s="42"/>
      <c r="H149" s="43"/>
      <c r="I149" s="43"/>
      <c r="J149" s="36">
        <v>100</v>
      </c>
      <c r="K149" s="37">
        <f t="shared" si="10"/>
        <v>100</v>
      </c>
      <c r="L149" s="31"/>
      <c r="M149" s="45" t="str">
        <f>+F149</f>
        <v>Item</v>
      </c>
      <c r="N149" s="42"/>
      <c r="O149" s="36">
        <v>50</v>
      </c>
      <c r="P149" s="37">
        <f t="shared" si="11"/>
        <v>50</v>
      </c>
      <c r="Q149" s="54"/>
      <c r="S149" s="110" t="str">
        <f>+E149</f>
        <v>Sundry materials and tools (staples, etc)</v>
      </c>
      <c r="T149" s="114">
        <f>+K149</f>
        <v>100</v>
      </c>
      <c r="U149" s="12"/>
      <c r="V149" s="12">
        <v>25</v>
      </c>
      <c r="W149" s="19">
        <f>ROUND(+IF(V149&gt;0,T149/V149,""),2)</f>
        <v>4</v>
      </c>
      <c r="X149" s="111"/>
    </row>
    <row r="150" spans="1:24" ht="12.75" hidden="1" outlineLevel="1">
      <c r="A150" s="60"/>
      <c r="B150" s="61"/>
      <c r="C150" s="64"/>
      <c r="D150" s="63"/>
      <c r="E150" s="38"/>
      <c r="F150" s="45"/>
      <c r="G150" s="42"/>
      <c r="H150" s="43"/>
      <c r="I150" s="43"/>
      <c r="J150" s="36">
        <f>IF(+I150+H150&gt;0,I150+(H150*labour),"")</f>
      </c>
      <c r="K150" s="37">
        <f t="shared" si="10"/>
      </c>
      <c r="L150" s="31"/>
      <c r="M150" s="45"/>
      <c r="N150" s="42"/>
      <c r="O150" s="36"/>
      <c r="P150" s="37">
        <f t="shared" si="11"/>
      </c>
      <c r="Q150" s="54"/>
      <c r="S150" s="110"/>
      <c r="T150" s="12"/>
      <c r="U150" s="12"/>
      <c r="V150" s="12"/>
      <c r="W150" s="19"/>
      <c r="X150" s="111"/>
    </row>
    <row r="151" spans="1:24" ht="12.75" hidden="1" outlineLevel="1">
      <c r="A151" s="60"/>
      <c r="B151" s="61"/>
      <c r="C151" s="64"/>
      <c r="D151" s="63"/>
      <c r="E151" s="38" t="s">
        <v>78</v>
      </c>
      <c r="F151" s="45" t="s">
        <v>1</v>
      </c>
      <c r="G151" s="42"/>
      <c r="H151" s="43"/>
      <c r="I151" s="43"/>
      <c r="J151" s="36">
        <v>100</v>
      </c>
      <c r="K151" s="37">
        <f t="shared" si="10"/>
        <v>100</v>
      </c>
      <c r="L151" s="31"/>
      <c r="M151" s="33" t="str">
        <f>+F151</f>
        <v>Item</v>
      </c>
      <c r="N151" s="42"/>
      <c r="O151" s="36">
        <f>+J151</f>
        <v>100</v>
      </c>
      <c r="P151" s="37">
        <f t="shared" si="11"/>
        <v>100</v>
      </c>
      <c r="Q151" s="54"/>
      <c r="S151" s="110" t="str">
        <f>+E151</f>
        <v>Delivery of materials</v>
      </c>
      <c r="T151" s="114">
        <f>+K151</f>
        <v>100</v>
      </c>
      <c r="U151" s="12"/>
      <c r="V151" s="12">
        <v>25</v>
      </c>
      <c r="W151" s="19">
        <f>ROUND(+IF(V151&gt;0,T151/V151,""),2)</f>
        <v>4</v>
      </c>
      <c r="X151" s="111"/>
    </row>
    <row r="152" spans="1:24" ht="12.75" hidden="1" outlineLevel="1">
      <c r="A152" s="60"/>
      <c r="B152" s="61"/>
      <c r="C152" s="64"/>
      <c r="D152" s="63"/>
      <c r="E152" s="38"/>
      <c r="F152" s="45"/>
      <c r="G152" s="42"/>
      <c r="H152" s="43"/>
      <c r="I152" s="43"/>
      <c r="J152" s="36"/>
      <c r="K152" s="37"/>
      <c r="L152" s="31"/>
      <c r="M152" s="33"/>
      <c r="N152" s="42"/>
      <c r="O152" s="36"/>
      <c r="P152" s="37"/>
      <c r="Q152" s="54"/>
      <c r="S152" s="110"/>
      <c r="T152" s="114"/>
      <c r="U152" s="12"/>
      <c r="V152" s="12"/>
      <c r="W152" s="19"/>
      <c r="X152" s="111"/>
    </row>
    <row r="153" spans="1:24" ht="12.75" hidden="1" outlineLevel="1">
      <c r="A153" s="60"/>
      <c r="B153" s="61"/>
      <c r="C153" s="64"/>
      <c r="D153" s="63"/>
      <c r="E153" s="38" t="s">
        <v>362</v>
      </c>
      <c r="F153" s="33">
        <v>10</v>
      </c>
      <c r="G153" s="34" t="s">
        <v>363</v>
      </c>
      <c r="H153" s="39"/>
      <c r="I153" s="39"/>
      <c r="J153" s="36">
        <f>SUM(K138:K152)</f>
        <v>3256.3962373205745</v>
      </c>
      <c r="K153" s="37">
        <f>+J153*F153%</f>
        <v>325.6396237320575</v>
      </c>
      <c r="L153" s="31"/>
      <c r="M153" s="33"/>
      <c r="N153" s="42"/>
      <c r="O153" s="36"/>
      <c r="P153" s="37"/>
      <c r="Q153" s="54"/>
      <c r="S153" s="110"/>
      <c r="T153" s="114"/>
      <c r="U153" s="12"/>
      <c r="V153" s="12"/>
      <c r="W153" s="19"/>
      <c r="X153" s="111"/>
    </row>
    <row r="154" spans="1:24" ht="12.75" hidden="1" outlineLevel="1">
      <c r="A154" s="60"/>
      <c r="B154" s="61"/>
      <c r="C154" s="64"/>
      <c r="D154" s="63"/>
      <c r="E154" s="32"/>
      <c r="F154" s="33"/>
      <c r="G154" s="42"/>
      <c r="H154" s="43"/>
      <c r="I154" s="43"/>
      <c r="J154" s="36">
        <f>IF(+I154+H154&gt;0,I154+(H154*labour),"")</f>
      </c>
      <c r="K154" s="37">
        <f t="shared" si="10"/>
      </c>
      <c r="L154" s="31"/>
      <c r="M154" s="33"/>
      <c r="N154" s="42"/>
      <c r="O154" s="36"/>
      <c r="P154" s="37">
        <f t="shared" si="11"/>
      </c>
      <c r="Q154" s="54"/>
      <c r="S154" s="110"/>
      <c r="T154" s="12"/>
      <c r="U154" s="12"/>
      <c r="V154" s="12"/>
      <c r="W154" s="19"/>
      <c r="X154" s="111"/>
    </row>
    <row r="155" spans="1:24" ht="12.75" collapsed="1">
      <c r="A155" s="60"/>
      <c r="B155" s="61"/>
      <c r="C155" s="64"/>
      <c r="D155" s="63"/>
      <c r="E155" s="38"/>
      <c r="F155" s="33"/>
      <c r="G155" s="42"/>
      <c r="H155" s="43"/>
      <c r="I155" s="43"/>
      <c r="J155" s="36">
        <f>IF(+I155+H155&gt;0,I155+(H155*labour),"")</f>
      </c>
      <c r="K155" s="37">
        <f t="shared" si="10"/>
      </c>
      <c r="L155" s="31"/>
      <c r="M155" s="33"/>
      <c r="N155" s="42"/>
      <c r="O155" s="36"/>
      <c r="P155" s="37">
        <f t="shared" si="11"/>
      </c>
      <c r="Q155" s="54"/>
      <c r="S155" s="110"/>
      <c r="T155" s="12"/>
      <c r="U155" s="12"/>
      <c r="V155" s="12"/>
      <c r="W155" s="19"/>
      <c r="X155" s="111"/>
    </row>
    <row r="156" spans="1:24" ht="12.75">
      <c r="A156" s="60"/>
      <c r="B156" s="61"/>
      <c r="C156" s="64"/>
      <c r="D156" s="63"/>
      <c r="E156" s="32" t="s">
        <v>96</v>
      </c>
      <c r="F156" s="33"/>
      <c r="G156" s="42"/>
      <c r="H156" s="43"/>
      <c r="I156" s="43"/>
      <c r="J156" s="36">
        <f>IF(+I156+H156&gt;0,I156+(H156*labour),"")</f>
      </c>
      <c r="K156" s="53">
        <f>SUM(K157:K158)</f>
        <v>1250</v>
      </c>
      <c r="L156" s="31"/>
      <c r="M156" s="72"/>
      <c r="N156" s="73"/>
      <c r="O156" s="74"/>
      <c r="P156" s="75">
        <f t="shared" si="11"/>
      </c>
      <c r="Q156" s="76"/>
      <c r="S156" s="110" t="s">
        <v>262</v>
      </c>
      <c r="T156" s="114">
        <f>11*20</f>
        <v>220</v>
      </c>
      <c r="U156" s="12"/>
      <c r="V156" s="12">
        <v>10</v>
      </c>
      <c r="W156" s="112">
        <f>ROUND(+IF(V156&gt;0,T156/V156,""),2)</f>
        <v>22</v>
      </c>
      <c r="X156" s="111" t="s">
        <v>263</v>
      </c>
    </row>
    <row r="157" spans="1:24" ht="12.75">
      <c r="A157" s="60"/>
      <c r="B157" s="61"/>
      <c r="C157" s="64"/>
      <c r="D157" s="63"/>
      <c r="E157" s="38"/>
      <c r="F157" s="33"/>
      <c r="G157" s="34"/>
      <c r="H157" s="39"/>
      <c r="I157" s="39"/>
      <c r="J157" s="36">
        <f>IF(+I157+H157&gt;0,I157+(H157*labour),"")</f>
      </c>
      <c r="K157" s="37">
        <f>+IF(F157="item",J157,IF(F157&lt;&gt;0,F157*J157,""))</f>
      </c>
      <c r="L157" s="31"/>
      <c r="M157" s="72"/>
      <c r="N157" s="73"/>
      <c r="O157" s="74"/>
      <c r="P157" s="75">
        <f t="shared" si="11"/>
      </c>
      <c r="Q157" s="76"/>
      <c r="S157" s="110"/>
      <c r="T157" s="12"/>
      <c r="U157" s="12"/>
      <c r="V157" s="12"/>
      <c r="W157" s="19"/>
      <c r="X157" s="111"/>
    </row>
    <row r="158" spans="1:24" ht="25.5" customHeight="1" hidden="1" outlineLevel="1">
      <c r="A158" s="60"/>
      <c r="B158" s="61"/>
      <c r="C158" s="64"/>
      <c r="D158" s="63"/>
      <c r="E158" s="38" t="s">
        <v>388</v>
      </c>
      <c r="F158" s="33" t="s">
        <v>1</v>
      </c>
      <c r="G158" s="42"/>
      <c r="H158" s="43"/>
      <c r="I158" s="43"/>
      <c r="J158" s="36">
        <v>1250</v>
      </c>
      <c r="K158" s="37">
        <f>+IF(F158="item",J158,IF(F158&lt;&gt;0,F158*J158,""))</f>
        <v>1250</v>
      </c>
      <c r="L158" s="163" t="s">
        <v>347</v>
      </c>
      <c r="M158" s="72"/>
      <c r="N158" s="73"/>
      <c r="O158" s="74"/>
      <c r="P158" s="75">
        <f t="shared" si="11"/>
      </c>
      <c r="Q158" s="76"/>
      <c r="S158" s="110"/>
      <c r="T158" s="12"/>
      <c r="U158" s="12"/>
      <c r="V158" s="12"/>
      <c r="W158" s="19"/>
      <c r="X158" s="111"/>
    </row>
    <row r="159" spans="1:24" ht="12.75" hidden="1" outlineLevel="1">
      <c r="A159" s="60"/>
      <c r="B159" s="61"/>
      <c r="C159" s="64"/>
      <c r="D159" s="63"/>
      <c r="E159" s="32"/>
      <c r="F159" s="33"/>
      <c r="G159" s="42"/>
      <c r="H159" s="43"/>
      <c r="I159" s="43"/>
      <c r="J159" s="36">
        <f aca="true" t="shared" si="12" ref="J159:J179">IF(+I159+H159&gt;0,I159+(H159*labour),"")</f>
      </c>
      <c r="K159" s="37">
        <f>+IF(F159="item",J159,IF(F159&lt;&gt;0,F159*J159,""))</f>
      </c>
      <c r="L159" s="31"/>
      <c r="M159" s="72"/>
      <c r="N159" s="73"/>
      <c r="O159" s="74"/>
      <c r="P159" s="75">
        <f t="shared" si="11"/>
      </c>
      <c r="Q159" s="76"/>
      <c r="S159" s="110"/>
      <c r="T159" s="12"/>
      <c r="U159" s="12"/>
      <c r="V159" s="12"/>
      <c r="W159" s="19"/>
      <c r="X159" s="111"/>
    </row>
    <row r="160" spans="1:24" ht="12.75" collapsed="1">
      <c r="A160" s="60"/>
      <c r="B160" s="61"/>
      <c r="C160" s="64"/>
      <c r="D160" s="63"/>
      <c r="E160" s="38"/>
      <c r="F160" s="33"/>
      <c r="G160" s="42"/>
      <c r="H160" s="43"/>
      <c r="I160" s="43"/>
      <c r="J160" s="36">
        <f t="shared" si="12"/>
      </c>
      <c r="K160" s="37">
        <f>+IF(F160="item",J160,IF(F160&lt;&gt;0,F160*J160,""))</f>
      </c>
      <c r="L160" s="31"/>
      <c r="M160" s="33"/>
      <c r="N160" s="42"/>
      <c r="O160" s="36"/>
      <c r="P160" s="37">
        <f t="shared" si="11"/>
      </c>
      <c r="Q160" s="54"/>
      <c r="S160" s="110"/>
      <c r="T160" s="12"/>
      <c r="U160" s="12"/>
      <c r="V160" s="12"/>
      <c r="W160" s="19"/>
      <c r="X160" s="111"/>
    </row>
    <row r="161" spans="1:24" ht="38.25">
      <c r="A161" s="60"/>
      <c r="B161" s="61"/>
      <c r="C161" s="64"/>
      <c r="D161" s="63"/>
      <c r="E161" s="32" t="s">
        <v>100</v>
      </c>
      <c r="F161" s="33"/>
      <c r="G161" s="42"/>
      <c r="H161" s="43"/>
      <c r="I161" s="43"/>
      <c r="J161" s="36">
        <f t="shared" si="12"/>
      </c>
      <c r="K161" s="53">
        <f>1650*1.2</f>
        <v>1980</v>
      </c>
      <c r="L161" s="31" t="s">
        <v>103</v>
      </c>
      <c r="M161" s="72"/>
      <c r="N161" s="73"/>
      <c r="O161" s="74"/>
      <c r="P161" s="75">
        <f t="shared" si="11"/>
      </c>
      <c r="Q161" s="76"/>
      <c r="S161" s="110"/>
      <c r="T161" s="12"/>
      <c r="U161" s="12"/>
      <c r="V161" s="12"/>
      <c r="W161" s="19"/>
      <c r="X161" s="116" t="s">
        <v>264</v>
      </c>
    </row>
    <row r="162" spans="1:24" ht="12.75" hidden="1" outlineLevel="1">
      <c r="A162" s="60"/>
      <c r="B162" s="61"/>
      <c r="C162" s="64"/>
      <c r="D162" s="63"/>
      <c r="E162" s="38"/>
      <c r="F162" s="33"/>
      <c r="G162" s="42"/>
      <c r="H162" s="43"/>
      <c r="I162" s="43"/>
      <c r="J162" s="36">
        <f t="shared" si="12"/>
      </c>
      <c r="K162" s="37">
        <f>+IF(F162="item",J162,IF(F162&lt;&gt;0,F162*J162,""))</f>
      </c>
      <c r="L162" s="31" t="s">
        <v>174</v>
      </c>
      <c r="M162" s="72"/>
      <c r="N162" s="73"/>
      <c r="O162" s="74"/>
      <c r="P162" s="75">
        <f t="shared" si="11"/>
      </c>
      <c r="Q162" s="76"/>
      <c r="S162" s="110"/>
      <c r="T162" s="12"/>
      <c r="U162" s="12"/>
      <c r="V162" s="12"/>
      <c r="W162" s="19"/>
      <c r="X162" s="111"/>
    </row>
    <row r="163" spans="1:24" ht="12.75" hidden="1" outlineLevel="1">
      <c r="A163" s="60"/>
      <c r="B163" s="61"/>
      <c r="C163" s="64"/>
      <c r="D163" s="63"/>
      <c r="E163" s="38"/>
      <c r="F163" s="33"/>
      <c r="G163" s="42"/>
      <c r="H163" s="43"/>
      <c r="I163" s="43"/>
      <c r="J163" s="36">
        <f t="shared" si="12"/>
      </c>
      <c r="K163" s="37">
        <f>+IF(F163="item",J163,IF(F163&lt;&gt;0,F163*J163,""))</f>
      </c>
      <c r="L163" s="31"/>
      <c r="M163" s="72"/>
      <c r="N163" s="73"/>
      <c r="O163" s="74"/>
      <c r="P163" s="75">
        <f t="shared" si="11"/>
      </c>
      <c r="Q163" s="76"/>
      <c r="S163" s="110"/>
      <c r="T163" s="12"/>
      <c r="U163" s="12"/>
      <c r="V163" s="12"/>
      <c r="W163" s="19"/>
      <c r="X163" s="111"/>
    </row>
    <row r="164" spans="1:24" ht="12.75" collapsed="1">
      <c r="A164" s="60"/>
      <c r="B164" s="61"/>
      <c r="C164" s="64"/>
      <c r="D164" s="63"/>
      <c r="E164" s="38"/>
      <c r="F164" s="33"/>
      <c r="G164" s="42"/>
      <c r="H164" s="43"/>
      <c r="I164" s="43"/>
      <c r="J164" s="36">
        <f t="shared" si="12"/>
      </c>
      <c r="K164" s="37">
        <f>+IF(F164="item",J164,IF(F164&lt;&gt;0,F164*J164,""))</f>
      </c>
      <c r="L164" s="31"/>
      <c r="M164" s="33"/>
      <c r="N164" s="42"/>
      <c r="O164" s="36"/>
      <c r="P164" s="37">
        <f t="shared" si="11"/>
      </c>
      <c r="Q164" s="54"/>
      <c r="S164" s="110"/>
      <c r="T164" s="12"/>
      <c r="U164" s="12"/>
      <c r="V164" s="12"/>
      <c r="W164" s="19"/>
      <c r="X164" s="111"/>
    </row>
    <row r="165" spans="1:24" ht="12.75">
      <c r="A165" s="60"/>
      <c r="B165" s="61"/>
      <c r="C165" s="64"/>
      <c r="D165" s="63"/>
      <c r="E165" s="38"/>
      <c r="F165" s="33"/>
      <c r="G165" s="42"/>
      <c r="H165" s="43"/>
      <c r="I165" s="43"/>
      <c r="J165" s="36">
        <f t="shared" si="12"/>
      </c>
      <c r="K165" s="37">
        <f>+IF(F165="item",J165,IF(F165&lt;&gt;0,F165*J165,""))</f>
      </c>
      <c r="L165" s="31"/>
      <c r="M165" s="33"/>
      <c r="N165" s="42"/>
      <c r="O165" s="36"/>
      <c r="P165" s="37">
        <f t="shared" si="11"/>
      </c>
      <c r="Q165" s="54"/>
      <c r="S165" s="110"/>
      <c r="T165" s="12"/>
      <c r="U165" s="12"/>
      <c r="V165" s="12"/>
      <c r="W165" s="19"/>
      <c r="X165" s="111"/>
    </row>
    <row r="166" spans="1:24" ht="12.75">
      <c r="A166" s="60"/>
      <c r="B166" s="61"/>
      <c r="C166" s="64"/>
      <c r="D166" s="63"/>
      <c r="E166" s="32" t="s">
        <v>104</v>
      </c>
      <c r="F166" s="33"/>
      <c r="G166" s="42"/>
      <c r="H166" s="43"/>
      <c r="I166" s="43"/>
      <c r="J166" s="36">
        <f t="shared" si="12"/>
      </c>
      <c r="K166" s="53">
        <f>SUM(K167:K182)</f>
        <v>1631.8491199999999</v>
      </c>
      <c r="L166" s="31"/>
      <c r="M166" s="33"/>
      <c r="N166" s="42"/>
      <c r="O166" s="36"/>
      <c r="P166" s="53">
        <f>SUM(P167:P180)</f>
        <v>707.1090909090909</v>
      </c>
      <c r="Q166" s="54"/>
      <c r="S166" s="110"/>
      <c r="T166" s="12"/>
      <c r="U166" s="12"/>
      <c r="V166" s="12"/>
      <c r="W166" s="112">
        <f>SUM(W167:W180)</f>
        <v>24.729999999999997</v>
      </c>
      <c r="X166" s="111"/>
    </row>
    <row r="167" spans="1:24" ht="12.75">
      <c r="A167" s="60"/>
      <c r="B167" s="61"/>
      <c r="C167" s="64"/>
      <c r="D167" s="63"/>
      <c r="E167" s="38"/>
      <c r="F167" s="33"/>
      <c r="G167" s="42"/>
      <c r="H167" s="43"/>
      <c r="I167" s="43"/>
      <c r="J167" s="36">
        <f t="shared" si="12"/>
      </c>
      <c r="K167" s="37">
        <f aca="true" t="shared" si="13" ref="K167:K187">+IF(F167="item",J167,IF(F167&lt;&gt;0,F167*J167,""))</f>
      </c>
      <c r="L167" s="31"/>
      <c r="M167" s="33"/>
      <c r="N167" s="42"/>
      <c r="O167" s="36"/>
      <c r="P167" s="37">
        <f aca="true" t="shared" si="14" ref="P167:P196">+IF(M167="item",O167,IF(M167&lt;&gt;0,M167*O167,""))</f>
      </c>
      <c r="Q167" s="54"/>
      <c r="S167" s="113" t="s">
        <v>257</v>
      </c>
      <c r="T167" s="12"/>
      <c r="U167" s="12"/>
      <c r="V167" s="12"/>
      <c r="W167" s="19"/>
      <c r="X167" s="111"/>
    </row>
    <row r="168" spans="1:24" ht="12.75" hidden="1" outlineLevel="1">
      <c r="A168" s="60"/>
      <c r="B168" s="61"/>
      <c r="C168" s="64"/>
      <c r="D168" s="63"/>
      <c r="E168" s="38" t="s">
        <v>62</v>
      </c>
      <c r="F168" s="33">
        <f>ROUND(D172,0)</f>
        <v>62</v>
      </c>
      <c r="G168" s="42" t="s">
        <v>35</v>
      </c>
      <c r="H168" s="43"/>
      <c r="I168" s="43">
        <f>+felt</f>
        <v>3.2016000000000004</v>
      </c>
      <c r="J168" s="36">
        <f t="shared" si="12"/>
        <v>3.2016000000000004</v>
      </c>
      <c r="K168" s="37">
        <f t="shared" si="13"/>
        <v>198.49920000000003</v>
      </c>
      <c r="L168" s="31"/>
      <c r="M168" s="33">
        <v>200</v>
      </c>
      <c r="N168" s="42" t="s">
        <v>35</v>
      </c>
      <c r="O168" s="36">
        <f>+I168/1.1</f>
        <v>2.9105454545454545</v>
      </c>
      <c r="P168" s="37">
        <f t="shared" si="14"/>
        <v>582.1090909090909</v>
      </c>
      <c r="Q168" s="54" t="s">
        <v>119</v>
      </c>
      <c r="S168" s="110" t="str">
        <f>+E168</f>
        <v>Underlay</v>
      </c>
      <c r="T168" s="114">
        <f>+K168</f>
        <v>198.49920000000003</v>
      </c>
      <c r="U168" s="12"/>
      <c r="V168" s="12">
        <v>60</v>
      </c>
      <c r="W168" s="19">
        <f>ROUND(+IF(V168&gt;0,T168/V168,""),2)</f>
        <v>3.31</v>
      </c>
      <c r="X168" s="111"/>
    </row>
    <row r="169" spans="1:24" ht="12.75" hidden="1" outlineLevel="1">
      <c r="A169" s="60"/>
      <c r="B169" s="137">
        <v>1.3</v>
      </c>
      <c r="C169" s="64">
        <v>6</v>
      </c>
      <c r="D169" s="63"/>
      <c r="E169" s="38"/>
      <c r="F169" s="33"/>
      <c r="G169" s="42"/>
      <c r="H169" s="43"/>
      <c r="I169" s="43"/>
      <c r="J169" s="36"/>
      <c r="K169" s="37"/>
      <c r="L169" s="31"/>
      <c r="M169" s="33"/>
      <c r="N169" s="42"/>
      <c r="O169" s="36"/>
      <c r="P169" s="37"/>
      <c r="Q169" s="54"/>
      <c r="S169" s="110"/>
      <c r="T169" s="114"/>
      <c r="U169" s="12"/>
      <c r="V169" s="12"/>
      <c r="W169" s="19"/>
      <c r="X169" s="111"/>
    </row>
    <row r="170" spans="1:24" ht="12.75" hidden="1" outlineLevel="1">
      <c r="A170" s="60"/>
      <c r="B170" s="61"/>
      <c r="C170" s="135">
        <v>8</v>
      </c>
      <c r="D170" s="63">
        <f>+C170*C169*B169</f>
        <v>62.400000000000006</v>
      </c>
      <c r="E170" s="38"/>
      <c r="F170" s="33"/>
      <c r="G170" s="42"/>
      <c r="H170" s="43"/>
      <c r="I170" s="43"/>
      <c r="J170" s="36"/>
      <c r="K170" s="37"/>
      <c r="L170" s="31"/>
      <c r="M170" s="33"/>
      <c r="N170" s="42"/>
      <c r="O170" s="36"/>
      <c r="P170" s="37"/>
      <c r="Q170" s="54"/>
      <c r="S170" s="110"/>
      <c r="T170" s="114"/>
      <c r="U170" s="12"/>
      <c r="V170" s="12"/>
      <c r="W170" s="19"/>
      <c r="X170" s="111"/>
    </row>
    <row r="171" spans="1:24" ht="12.75" hidden="1" outlineLevel="1">
      <c r="A171" s="60"/>
      <c r="B171" s="61"/>
      <c r="C171" s="64"/>
      <c r="D171" s="63"/>
      <c r="E171" s="38"/>
      <c r="F171" s="33"/>
      <c r="G171" s="42"/>
      <c r="H171" s="43"/>
      <c r="I171" s="43"/>
      <c r="J171" s="36"/>
      <c r="K171" s="37"/>
      <c r="L171" s="31"/>
      <c r="M171" s="33"/>
      <c r="N171" s="42"/>
      <c r="O171" s="36"/>
      <c r="P171" s="37"/>
      <c r="Q171" s="54"/>
      <c r="S171" s="110"/>
      <c r="T171" s="114"/>
      <c r="U171" s="12"/>
      <c r="V171" s="12"/>
      <c r="W171" s="19"/>
      <c r="X171" s="111"/>
    </row>
    <row r="172" spans="1:24" ht="12.75" hidden="1" outlineLevel="1">
      <c r="A172" s="60"/>
      <c r="B172" s="61"/>
      <c r="C172" s="64"/>
      <c r="D172" s="65">
        <f>SUM(D169:D171)</f>
        <v>62.400000000000006</v>
      </c>
      <c r="E172" s="38"/>
      <c r="F172" s="33"/>
      <c r="G172" s="42"/>
      <c r="H172" s="43"/>
      <c r="I172" s="43"/>
      <c r="J172" s="36"/>
      <c r="K172" s="37"/>
      <c r="L172" s="31"/>
      <c r="M172" s="33"/>
      <c r="N172" s="42"/>
      <c r="O172" s="36"/>
      <c r="P172" s="37"/>
      <c r="Q172" s="54"/>
      <c r="S172" s="110"/>
      <c r="T172" s="114"/>
      <c r="U172" s="12"/>
      <c r="V172" s="12"/>
      <c r="W172" s="19"/>
      <c r="X172" s="111"/>
    </row>
    <row r="173" spans="1:24" ht="12.75" hidden="1" outlineLevel="1">
      <c r="A173" s="60"/>
      <c r="B173" s="61"/>
      <c r="C173" s="64"/>
      <c r="D173" s="63"/>
      <c r="E173" s="38"/>
      <c r="F173" s="33"/>
      <c r="G173" s="42"/>
      <c r="H173" s="43"/>
      <c r="I173" s="43"/>
      <c r="J173" s="36">
        <f t="shared" si="12"/>
      </c>
      <c r="K173" s="37">
        <f t="shared" si="13"/>
      </c>
      <c r="L173" s="31"/>
      <c r="M173" s="33"/>
      <c r="N173" s="42"/>
      <c r="O173" s="36"/>
      <c r="P173" s="37">
        <f t="shared" si="14"/>
      </c>
      <c r="Q173" s="54"/>
      <c r="S173" s="110"/>
      <c r="T173" s="12"/>
      <c r="U173" s="12"/>
      <c r="V173" s="12"/>
      <c r="W173" s="19"/>
      <c r="X173" s="111"/>
    </row>
    <row r="174" spans="1:24" ht="12.75" hidden="1" outlineLevel="1">
      <c r="A174" s="60"/>
      <c r="B174" s="61"/>
      <c r="C174" s="64"/>
      <c r="D174" s="63"/>
      <c r="E174" s="38" t="s">
        <v>107</v>
      </c>
      <c r="F174" s="33">
        <v>50</v>
      </c>
      <c r="G174" s="42" t="s">
        <v>108</v>
      </c>
      <c r="H174" s="43"/>
      <c r="I174" s="43">
        <v>0.5</v>
      </c>
      <c r="J174" s="36">
        <f t="shared" si="12"/>
        <v>0.5</v>
      </c>
      <c r="K174" s="37">
        <f t="shared" si="13"/>
        <v>25</v>
      </c>
      <c r="L174" s="31"/>
      <c r="M174" s="33">
        <f>+F174</f>
        <v>50</v>
      </c>
      <c r="N174" s="42"/>
      <c r="O174" s="36">
        <f>+I174</f>
        <v>0.5</v>
      </c>
      <c r="P174" s="37">
        <f t="shared" si="14"/>
        <v>25</v>
      </c>
      <c r="Q174" s="54"/>
      <c r="S174" s="110" t="str">
        <f>+E174</f>
        <v>Battens</v>
      </c>
      <c r="T174" s="114">
        <f>+K174</f>
        <v>25</v>
      </c>
      <c r="U174" s="12"/>
      <c r="V174" s="12">
        <v>60</v>
      </c>
      <c r="W174" s="19">
        <f>ROUND(+IF(V174&gt;0,T174/V174,""),2)</f>
        <v>0.42</v>
      </c>
      <c r="X174" s="111"/>
    </row>
    <row r="175" spans="1:24" ht="12.75" hidden="1" outlineLevel="1">
      <c r="A175" s="60"/>
      <c r="B175" s="61"/>
      <c r="C175" s="64"/>
      <c r="D175" s="63"/>
      <c r="E175" s="38"/>
      <c r="F175" s="33"/>
      <c r="G175" s="42"/>
      <c r="H175" s="43"/>
      <c r="I175" s="43"/>
      <c r="J175" s="36">
        <f t="shared" si="12"/>
      </c>
      <c r="K175" s="37">
        <f t="shared" si="13"/>
      </c>
      <c r="L175" s="31"/>
      <c r="M175" s="33"/>
      <c r="N175" s="42"/>
      <c r="O175" s="36"/>
      <c r="P175" s="37">
        <f t="shared" si="14"/>
      </c>
      <c r="Q175" s="54"/>
      <c r="S175" s="110"/>
      <c r="T175" s="12"/>
      <c r="U175" s="12"/>
      <c r="V175" s="12"/>
      <c r="W175" s="19"/>
      <c r="X175" s="111"/>
    </row>
    <row r="176" spans="1:24" ht="12.75" hidden="1" outlineLevel="1">
      <c r="A176" s="60"/>
      <c r="B176" s="61"/>
      <c r="C176" s="64"/>
      <c r="D176" s="63"/>
      <c r="E176" s="38" t="s">
        <v>109</v>
      </c>
      <c r="F176" s="33" t="s">
        <v>1</v>
      </c>
      <c r="G176" s="42"/>
      <c r="H176" s="43"/>
      <c r="I176" s="43">
        <v>50</v>
      </c>
      <c r="J176" s="36">
        <f t="shared" si="12"/>
        <v>50</v>
      </c>
      <c r="K176" s="37">
        <f t="shared" si="13"/>
        <v>50</v>
      </c>
      <c r="L176" s="31"/>
      <c r="M176" s="33" t="str">
        <f>+F176</f>
        <v>Item</v>
      </c>
      <c r="N176" s="42"/>
      <c r="O176" s="36">
        <f>+I176</f>
        <v>50</v>
      </c>
      <c r="P176" s="37">
        <f t="shared" si="14"/>
        <v>50</v>
      </c>
      <c r="Q176" s="54"/>
      <c r="S176" s="110" t="str">
        <f>+E176</f>
        <v>Caulk, staples, sundry materials</v>
      </c>
      <c r="T176" s="114">
        <f>+K176</f>
        <v>50</v>
      </c>
      <c r="U176" s="12"/>
      <c r="V176" s="12">
        <v>60</v>
      </c>
      <c r="W176" s="19">
        <f>ROUND(+IF(V176&gt;0,T176/V176,""),2)</f>
        <v>0.83</v>
      </c>
      <c r="X176" s="111"/>
    </row>
    <row r="177" spans="1:24" ht="12.75" hidden="1" outlineLevel="1">
      <c r="A177" s="60"/>
      <c r="B177" s="61"/>
      <c r="C177" s="64"/>
      <c r="D177" s="63"/>
      <c r="E177" s="38"/>
      <c r="F177" s="33"/>
      <c r="G177" s="42"/>
      <c r="H177" s="43"/>
      <c r="I177" s="43"/>
      <c r="J177" s="36">
        <f t="shared" si="12"/>
      </c>
      <c r="K177" s="37">
        <f t="shared" si="13"/>
      </c>
      <c r="L177" s="31"/>
      <c r="M177" s="33"/>
      <c r="N177" s="42"/>
      <c r="O177" s="36"/>
      <c r="P177" s="37">
        <f t="shared" si="14"/>
      </c>
      <c r="Q177" s="54"/>
      <c r="S177" s="110"/>
      <c r="T177" s="12"/>
      <c r="U177" s="12"/>
      <c r="V177" s="12"/>
      <c r="W177" s="19"/>
      <c r="X177" s="111"/>
    </row>
    <row r="178" spans="1:24" ht="12.75" hidden="1" outlineLevel="1">
      <c r="A178" s="60"/>
      <c r="B178" s="61"/>
      <c r="C178" s="64"/>
      <c r="D178" s="63"/>
      <c r="E178" s="38" t="s">
        <v>4</v>
      </c>
      <c r="F178" s="33">
        <v>4</v>
      </c>
      <c r="G178" s="42" t="s">
        <v>110</v>
      </c>
      <c r="H178" s="43">
        <v>8</v>
      </c>
      <c r="I178" s="43"/>
      <c r="J178" s="36">
        <f t="shared" si="12"/>
        <v>240</v>
      </c>
      <c r="K178" s="37">
        <f t="shared" si="13"/>
        <v>960</v>
      </c>
      <c r="L178" s="31" t="s">
        <v>111</v>
      </c>
      <c r="M178" s="33"/>
      <c r="N178" s="42"/>
      <c r="O178" s="36"/>
      <c r="P178" s="37">
        <f t="shared" si="14"/>
      </c>
      <c r="Q178" s="54"/>
      <c r="S178" s="110" t="str">
        <f>+E178</f>
        <v>Labour</v>
      </c>
      <c r="T178" s="114">
        <f>+K178</f>
        <v>960</v>
      </c>
      <c r="U178" s="12"/>
      <c r="V178" s="12">
        <v>60</v>
      </c>
      <c r="W178" s="19">
        <f>ROUND(+IF(V178&gt;0,T178/V178,""),2)</f>
        <v>16</v>
      </c>
      <c r="X178" s="111"/>
    </row>
    <row r="179" spans="1:24" ht="12.75" hidden="1" outlineLevel="1">
      <c r="A179" s="60"/>
      <c r="B179" s="61"/>
      <c r="C179" s="64"/>
      <c r="D179" s="63"/>
      <c r="E179" s="38"/>
      <c r="F179" s="33"/>
      <c r="G179" s="42"/>
      <c r="H179" s="43"/>
      <c r="I179" s="43"/>
      <c r="J179" s="36">
        <f t="shared" si="12"/>
      </c>
      <c r="K179" s="37">
        <f t="shared" si="13"/>
      </c>
      <c r="L179" s="31"/>
      <c r="M179" s="33"/>
      <c r="N179" s="42"/>
      <c r="O179" s="36"/>
      <c r="P179" s="37">
        <f t="shared" si="14"/>
      </c>
      <c r="Q179" s="54"/>
      <c r="S179" s="110"/>
      <c r="T179" s="12"/>
      <c r="U179" s="12"/>
      <c r="V179" s="12"/>
      <c r="W179" s="19"/>
      <c r="X179" s="111"/>
    </row>
    <row r="180" spans="1:24" ht="12.75" hidden="1" outlineLevel="1">
      <c r="A180" s="60"/>
      <c r="B180" s="61"/>
      <c r="C180" s="64"/>
      <c r="D180" s="63"/>
      <c r="E180" s="38" t="s">
        <v>112</v>
      </c>
      <c r="F180" s="33" t="s">
        <v>1</v>
      </c>
      <c r="G180" s="42"/>
      <c r="H180" s="43"/>
      <c r="I180" s="43"/>
      <c r="J180" s="36">
        <v>250</v>
      </c>
      <c r="K180" s="37">
        <f t="shared" si="13"/>
        <v>250</v>
      </c>
      <c r="L180" s="31"/>
      <c r="M180" s="33" t="s">
        <v>1</v>
      </c>
      <c r="N180" s="42"/>
      <c r="O180" s="36">
        <v>50</v>
      </c>
      <c r="P180" s="37">
        <f t="shared" si="14"/>
        <v>50</v>
      </c>
      <c r="Q180" s="54"/>
      <c r="S180" s="110" t="str">
        <f>+E180</f>
        <v>Allow for temporary boarding/ access</v>
      </c>
      <c r="T180" s="114">
        <f>+K180</f>
        <v>250</v>
      </c>
      <c r="U180" s="12"/>
      <c r="V180" s="12">
        <v>60</v>
      </c>
      <c r="W180" s="19">
        <f>ROUND(+IF(V180&gt;0,T180/V180,""),2)</f>
        <v>4.17</v>
      </c>
      <c r="X180" s="111"/>
    </row>
    <row r="181" spans="1:24" ht="12.75" hidden="1" outlineLevel="1">
      <c r="A181" s="60"/>
      <c r="B181" s="61"/>
      <c r="C181" s="64"/>
      <c r="D181" s="63"/>
      <c r="E181" s="38"/>
      <c r="F181" s="33"/>
      <c r="G181" s="42"/>
      <c r="H181" s="43"/>
      <c r="I181" s="43"/>
      <c r="J181" s="36"/>
      <c r="K181" s="37"/>
      <c r="L181" s="31"/>
      <c r="M181" s="33"/>
      <c r="N181" s="42"/>
      <c r="O181" s="36"/>
      <c r="P181" s="37"/>
      <c r="Q181" s="54"/>
      <c r="S181" s="110"/>
      <c r="T181" s="114"/>
      <c r="U181" s="12"/>
      <c r="V181" s="12"/>
      <c r="W181" s="19"/>
      <c r="X181" s="111"/>
    </row>
    <row r="182" spans="1:24" ht="12.75" hidden="1" outlineLevel="1">
      <c r="A182" s="60"/>
      <c r="B182" s="61"/>
      <c r="C182" s="64"/>
      <c r="D182" s="63"/>
      <c r="E182" s="38" t="s">
        <v>362</v>
      </c>
      <c r="F182" s="33">
        <v>10</v>
      </c>
      <c r="G182" s="34" t="s">
        <v>363</v>
      </c>
      <c r="H182" s="39"/>
      <c r="I182" s="39"/>
      <c r="J182" s="36">
        <f>SUM(K167:K181)</f>
        <v>1483.4992</v>
      </c>
      <c r="K182" s="37">
        <f>+J182*F182%</f>
        <v>148.34992</v>
      </c>
      <c r="L182" s="31"/>
      <c r="M182" s="33"/>
      <c r="N182" s="42"/>
      <c r="O182" s="36"/>
      <c r="P182" s="37"/>
      <c r="Q182" s="54"/>
      <c r="S182" s="110"/>
      <c r="T182" s="114"/>
      <c r="U182" s="12"/>
      <c r="V182" s="12"/>
      <c r="W182" s="19"/>
      <c r="X182" s="111"/>
    </row>
    <row r="183" spans="1:24" ht="12.75" hidden="1" outlineLevel="1">
      <c r="A183" s="60"/>
      <c r="B183" s="61"/>
      <c r="C183" s="64"/>
      <c r="D183" s="63"/>
      <c r="E183" s="38"/>
      <c r="F183" s="33"/>
      <c r="G183" s="42"/>
      <c r="H183" s="43"/>
      <c r="I183" s="43"/>
      <c r="J183" s="36"/>
      <c r="K183" s="37"/>
      <c r="L183" s="31"/>
      <c r="M183" s="33"/>
      <c r="N183" s="42"/>
      <c r="O183" s="36"/>
      <c r="P183" s="37"/>
      <c r="Q183" s="54"/>
      <c r="S183" s="110"/>
      <c r="T183" s="114"/>
      <c r="U183" s="12"/>
      <c r="V183" s="12"/>
      <c r="W183" s="19"/>
      <c r="X183" s="111"/>
    </row>
    <row r="184" spans="1:24" ht="12.75" collapsed="1">
      <c r="A184" s="60"/>
      <c r="B184" s="61"/>
      <c r="C184" s="64"/>
      <c r="D184" s="63"/>
      <c r="E184" s="38"/>
      <c r="F184" s="33"/>
      <c r="G184" s="42"/>
      <c r="H184" s="43"/>
      <c r="I184" s="43"/>
      <c r="J184" s="36">
        <f aca="true" t="shared" si="15" ref="J184:J191">IF(+I184+H184&gt;0,I184+(H184*labour),"")</f>
      </c>
      <c r="K184" s="37">
        <f t="shared" si="13"/>
      </c>
      <c r="L184" s="31"/>
      <c r="M184" s="33"/>
      <c r="N184" s="42"/>
      <c r="O184" s="36"/>
      <c r="P184" s="37">
        <f t="shared" si="14"/>
      </c>
      <c r="Q184" s="54"/>
      <c r="S184" s="110"/>
      <c r="T184" s="12"/>
      <c r="U184" s="12"/>
      <c r="V184" s="12"/>
      <c r="W184" s="19"/>
      <c r="X184" s="111"/>
    </row>
    <row r="185" spans="1:24" ht="12.75">
      <c r="A185" s="60"/>
      <c r="B185" s="61"/>
      <c r="C185" s="64"/>
      <c r="D185" s="63"/>
      <c r="E185" s="38"/>
      <c r="F185" s="33"/>
      <c r="G185" s="42"/>
      <c r="H185" s="43"/>
      <c r="I185" s="43"/>
      <c r="J185" s="36">
        <f t="shared" si="15"/>
      </c>
      <c r="K185" s="37">
        <f t="shared" si="13"/>
      </c>
      <c r="L185" s="31"/>
      <c r="M185" s="33"/>
      <c r="N185" s="42"/>
      <c r="O185" s="36"/>
      <c r="P185" s="37">
        <f t="shared" si="14"/>
      </c>
      <c r="Q185" s="54"/>
      <c r="S185" s="110"/>
      <c r="T185" s="12"/>
      <c r="U185" s="12"/>
      <c r="V185" s="12"/>
      <c r="W185" s="19"/>
      <c r="X185" s="111"/>
    </row>
    <row r="186" spans="1:24" ht="15.75">
      <c r="A186" s="60"/>
      <c r="B186" s="61"/>
      <c r="C186" s="64"/>
      <c r="D186" s="63"/>
      <c r="E186" s="78" t="s">
        <v>113</v>
      </c>
      <c r="F186" s="79"/>
      <c r="G186" s="80"/>
      <c r="H186" s="81"/>
      <c r="I186" s="81"/>
      <c r="J186" s="82">
        <f t="shared" si="15"/>
      </c>
      <c r="K186" s="83">
        <f t="shared" si="13"/>
      </c>
      <c r="L186" s="84"/>
      <c r="M186" s="79"/>
      <c r="N186" s="80"/>
      <c r="O186" s="82"/>
      <c r="P186" s="83">
        <f t="shared" si="14"/>
      </c>
      <c r="Q186" s="85"/>
      <c r="R186" s="89"/>
      <c r="S186" s="117"/>
      <c r="T186" s="118"/>
      <c r="U186" s="118"/>
      <c r="V186" s="118"/>
      <c r="W186" s="119"/>
      <c r="X186" s="120"/>
    </row>
    <row r="187" spans="1:24" ht="12.75">
      <c r="A187" s="60"/>
      <c r="B187" s="61"/>
      <c r="C187" s="64"/>
      <c r="D187" s="63"/>
      <c r="E187" s="38"/>
      <c r="F187" s="33"/>
      <c r="G187" s="42"/>
      <c r="H187" s="43"/>
      <c r="I187" s="43"/>
      <c r="J187" s="36">
        <f t="shared" si="15"/>
      </c>
      <c r="K187" s="37">
        <f t="shared" si="13"/>
      </c>
      <c r="L187" s="31"/>
      <c r="M187" s="33"/>
      <c r="N187" s="42"/>
      <c r="O187" s="36"/>
      <c r="P187" s="37">
        <f t="shared" si="14"/>
      </c>
      <c r="Q187" s="54"/>
      <c r="S187" s="110"/>
      <c r="T187" s="12"/>
      <c r="U187" s="12"/>
      <c r="V187" s="12"/>
      <c r="W187" s="19"/>
      <c r="X187" s="111"/>
    </row>
    <row r="188" spans="1:24" ht="25.5">
      <c r="A188" s="60"/>
      <c r="B188" s="61"/>
      <c r="C188" s="64"/>
      <c r="D188" s="63"/>
      <c r="E188" s="77" t="s">
        <v>114</v>
      </c>
      <c r="F188" s="33"/>
      <c r="G188" s="42"/>
      <c r="H188" s="43"/>
      <c r="I188" s="43"/>
      <c r="J188" s="36">
        <f t="shared" si="15"/>
      </c>
      <c r="K188" s="53">
        <f>SUM(K190:K194)</f>
        <v>137.53740000000002</v>
      </c>
      <c r="L188" s="31"/>
      <c r="M188" s="72"/>
      <c r="N188" s="73"/>
      <c r="O188" s="74"/>
      <c r="P188" s="75">
        <f t="shared" si="14"/>
      </c>
      <c r="Q188" s="76"/>
      <c r="S188" s="110"/>
      <c r="T188" s="12"/>
      <c r="U188" s="12"/>
      <c r="V188" s="12"/>
      <c r="W188" s="112">
        <f>SUM(W189:W192)</f>
        <v>5</v>
      </c>
      <c r="X188" s="111"/>
    </row>
    <row r="189" spans="1:24" ht="12.75">
      <c r="A189" s="60"/>
      <c r="B189" s="61"/>
      <c r="C189" s="64"/>
      <c r="D189" s="63"/>
      <c r="E189" s="38"/>
      <c r="F189" s="33"/>
      <c r="G189" s="42"/>
      <c r="H189" s="43"/>
      <c r="I189" s="43"/>
      <c r="J189" s="36">
        <f t="shared" si="15"/>
      </c>
      <c r="K189" s="37">
        <f aca="true" t="shared" si="16" ref="K189:K196">+IF(F189="item",J189,IF(F189&lt;&gt;0,F189*J189,""))</f>
      </c>
      <c r="L189" s="31"/>
      <c r="M189" s="72"/>
      <c r="N189" s="73"/>
      <c r="O189" s="74"/>
      <c r="P189" s="75">
        <f t="shared" si="14"/>
      </c>
      <c r="Q189" s="76"/>
      <c r="S189" s="113" t="s">
        <v>257</v>
      </c>
      <c r="T189" s="12"/>
      <c r="U189" s="12"/>
      <c r="V189" s="12"/>
      <c r="W189" s="19"/>
      <c r="X189" s="111"/>
    </row>
    <row r="190" spans="1:24" ht="12.75" hidden="1" outlineLevel="1">
      <c r="A190" s="60"/>
      <c r="B190" s="61"/>
      <c r="C190" s="64"/>
      <c r="D190" s="63"/>
      <c r="E190" s="38" t="s">
        <v>115</v>
      </c>
      <c r="F190" s="33">
        <v>2</v>
      </c>
      <c r="G190" s="42" t="s">
        <v>8</v>
      </c>
      <c r="H190" s="43">
        <v>1</v>
      </c>
      <c r="I190" s="43">
        <f>PIR</f>
        <v>30.017000000000003</v>
      </c>
      <c r="J190" s="36">
        <f t="shared" si="15"/>
        <v>60.017</v>
      </c>
      <c r="K190" s="37">
        <f t="shared" si="16"/>
        <v>120.034</v>
      </c>
      <c r="L190" s="31" t="s">
        <v>118</v>
      </c>
      <c r="M190" s="72"/>
      <c r="N190" s="73"/>
      <c r="O190" s="74"/>
      <c r="P190" s="75">
        <f t="shared" si="14"/>
      </c>
      <c r="Q190" s="76"/>
      <c r="S190" s="110" t="str">
        <f>+E190</f>
        <v>Timeguard ZV810</v>
      </c>
      <c r="T190" s="114">
        <f>+K190</f>
        <v>120.034</v>
      </c>
      <c r="U190" s="12"/>
      <c r="V190" s="12">
        <v>25</v>
      </c>
      <c r="W190" s="19">
        <f>ROUND(+IF(V190&gt;0,T190/V190,""),2)</f>
        <v>4.8</v>
      </c>
      <c r="X190" s="111"/>
    </row>
    <row r="191" spans="1:24" ht="12.75" hidden="1" outlineLevel="1">
      <c r="A191" s="60"/>
      <c r="B191" s="61"/>
      <c r="C191" s="64"/>
      <c r="D191" s="63"/>
      <c r="E191" s="38"/>
      <c r="F191" s="33"/>
      <c r="G191" s="42"/>
      <c r="H191" s="43"/>
      <c r="I191" s="43"/>
      <c r="J191" s="36">
        <f t="shared" si="15"/>
      </c>
      <c r="K191" s="37">
        <f t="shared" si="16"/>
      </c>
      <c r="L191" s="31"/>
      <c r="M191" s="72"/>
      <c r="N191" s="73"/>
      <c r="O191" s="74"/>
      <c r="P191" s="75">
        <f t="shared" si="14"/>
      </c>
      <c r="Q191" s="76"/>
      <c r="S191" s="110"/>
      <c r="T191" s="12"/>
      <c r="U191" s="12"/>
      <c r="V191" s="12"/>
      <c r="W191" s="19"/>
      <c r="X191" s="111"/>
    </row>
    <row r="192" spans="1:24" ht="12.75" hidden="1" outlineLevel="1">
      <c r="A192" s="60"/>
      <c r="B192" s="61"/>
      <c r="C192" s="64"/>
      <c r="D192" s="63"/>
      <c r="E192" s="38" t="s">
        <v>7</v>
      </c>
      <c r="F192" s="33" t="s">
        <v>1</v>
      </c>
      <c r="G192" s="42"/>
      <c r="H192" s="43"/>
      <c r="I192" s="43"/>
      <c r="J192" s="36">
        <v>5</v>
      </c>
      <c r="K192" s="37">
        <f t="shared" si="16"/>
        <v>5</v>
      </c>
      <c r="L192" s="31"/>
      <c r="M192" s="72"/>
      <c r="N192" s="73"/>
      <c r="O192" s="74"/>
      <c r="P192" s="75">
        <f t="shared" si="14"/>
      </c>
      <c r="Q192" s="76"/>
      <c r="S192" s="110" t="str">
        <f>+E192</f>
        <v>Delivery</v>
      </c>
      <c r="T192" s="114">
        <f>+K192</f>
        <v>5</v>
      </c>
      <c r="U192" s="12"/>
      <c r="V192" s="12">
        <v>25</v>
      </c>
      <c r="W192" s="19">
        <f>ROUND(+IF(V192&gt;0,T192/V192,""),2)</f>
        <v>0.2</v>
      </c>
      <c r="X192" s="111"/>
    </row>
    <row r="193" spans="1:24" ht="12.75" hidden="1" outlineLevel="1">
      <c r="A193" s="60"/>
      <c r="B193" s="61"/>
      <c r="C193" s="64"/>
      <c r="D193" s="63"/>
      <c r="E193" s="38"/>
      <c r="F193" s="33"/>
      <c r="G193" s="42"/>
      <c r="H193" s="43"/>
      <c r="I193" s="43"/>
      <c r="J193" s="36"/>
      <c r="K193" s="37"/>
      <c r="L193" s="31"/>
      <c r="M193" s="72"/>
      <c r="N193" s="73"/>
      <c r="O193" s="74"/>
      <c r="P193" s="75"/>
      <c r="Q193" s="76"/>
      <c r="S193" s="110"/>
      <c r="T193" s="114"/>
      <c r="U193" s="12"/>
      <c r="V193" s="12"/>
      <c r="W193" s="19"/>
      <c r="X193" s="111"/>
    </row>
    <row r="194" spans="1:24" ht="12.75" hidden="1" outlineLevel="1">
      <c r="A194" s="60"/>
      <c r="B194" s="61"/>
      <c r="C194" s="64"/>
      <c r="D194" s="63"/>
      <c r="E194" s="38" t="s">
        <v>362</v>
      </c>
      <c r="F194" s="33">
        <v>10</v>
      </c>
      <c r="G194" s="34" t="s">
        <v>363</v>
      </c>
      <c r="H194" s="39"/>
      <c r="I194" s="39"/>
      <c r="J194" s="36">
        <f>SUM(K190:K193)</f>
        <v>125.034</v>
      </c>
      <c r="K194" s="37">
        <f>+J194*F194%</f>
        <v>12.503400000000001</v>
      </c>
      <c r="L194" s="31"/>
      <c r="M194" s="72"/>
      <c r="N194" s="73"/>
      <c r="O194" s="74"/>
      <c r="P194" s="75"/>
      <c r="Q194" s="76"/>
      <c r="S194" s="110"/>
      <c r="T194" s="114"/>
      <c r="U194" s="12"/>
      <c r="V194" s="12"/>
      <c r="W194" s="19"/>
      <c r="X194" s="111"/>
    </row>
    <row r="195" spans="1:24" ht="12.75" collapsed="1">
      <c r="A195" s="60"/>
      <c r="B195" s="61"/>
      <c r="C195" s="64"/>
      <c r="D195" s="63"/>
      <c r="E195" s="38"/>
      <c r="F195" s="33"/>
      <c r="G195" s="42"/>
      <c r="H195" s="43"/>
      <c r="I195" s="43"/>
      <c r="J195" s="36">
        <f>IF(+I195+H195&gt;0,I195+(H195*labour),"")</f>
      </c>
      <c r="K195" s="37">
        <f t="shared" si="16"/>
      </c>
      <c r="L195" s="31"/>
      <c r="M195" s="33"/>
      <c r="N195" s="42"/>
      <c r="O195" s="36"/>
      <c r="P195" s="37">
        <f t="shared" si="14"/>
      </c>
      <c r="Q195" s="54"/>
      <c r="S195" s="110"/>
      <c r="T195" s="12"/>
      <c r="U195" s="12"/>
      <c r="V195" s="12"/>
      <c r="W195" s="19"/>
      <c r="X195" s="111"/>
    </row>
    <row r="196" spans="1:24" ht="12.75">
      <c r="A196" s="60"/>
      <c r="B196" s="61"/>
      <c r="C196" s="64"/>
      <c r="D196" s="63"/>
      <c r="E196" s="38"/>
      <c r="F196" s="33"/>
      <c r="G196" s="42"/>
      <c r="H196" s="43"/>
      <c r="I196" s="43"/>
      <c r="J196" s="36">
        <f>IF(+I196+H196&gt;0,I196+(H196*labour),"")</f>
      </c>
      <c r="K196" s="37">
        <f t="shared" si="16"/>
      </c>
      <c r="L196" s="31"/>
      <c r="M196" s="33"/>
      <c r="N196" s="42"/>
      <c r="O196" s="36"/>
      <c r="P196" s="37">
        <f t="shared" si="14"/>
      </c>
      <c r="Q196" s="54"/>
      <c r="S196" s="110"/>
      <c r="T196" s="12"/>
      <c r="U196" s="12"/>
      <c r="V196" s="12"/>
      <c r="W196" s="19"/>
      <c r="X196" s="111"/>
    </row>
    <row r="197" spans="1:24" ht="25.5">
      <c r="A197" s="60"/>
      <c r="B197" s="61"/>
      <c r="C197" s="64"/>
      <c r="D197" s="63"/>
      <c r="E197" s="77" t="s">
        <v>120</v>
      </c>
      <c r="F197" s="33"/>
      <c r="G197" s="42"/>
      <c r="H197" s="43"/>
      <c r="I197" s="43"/>
      <c r="J197" s="36">
        <f>IF(+I197+H197&gt;0,I197+(H197*labour),"")</f>
      </c>
      <c r="K197" s="53">
        <f>SUM(K198:K205)</f>
        <v>650.595</v>
      </c>
      <c r="L197" s="31"/>
      <c r="M197" s="33"/>
      <c r="N197" s="42"/>
      <c r="O197" s="36"/>
      <c r="P197" s="53">
        <f>SUM(P198:P203)</f>
        <v>316.45</v>
      </c>
      <c r="Q197" s="54"/>
      <c r="S197" s="110"/>
      <c r="T197" s="12"/>
      <c r="U197" s="12"/>
      <c r="V197" s="12"/>
      <c r="W197" s="112"/>
      <c r="X197" s="116" t="s">
        <v>265</v>
      </c>
    </row>
    <row r="198" spans="1:24" ht="12.75">
      <c r="A198" s="60"/>
      <c r="B198" s="61"/>
      <c r="C198" s="64"/>
      <c r="D198" s="63"/>
      <c r="E198" s="44"/>
      <c r="F198" s="33"/>
      <c r="G198" s="42"/>
      <c r="H198" s="43"/>
      <c r="I198" s="43"/>
      <c r="J198" s="36">
        <f>IF(+I198+H198&gt;0,I198+(H198*labour),"")</f>
      </c>
      <c r="K198" s="37">
        <f aca="true" t="shared" si="17" ref="K198:K207">+IF(F198="item",J198,IF(F198&lt;&gt;0,F198*J198,""))</f>
      </c>
      <c r="L198" s="31"/>
      <c r="M198" s="33"/>
      <c r="N198" s="42"/>
      <c r="O198" s="36"/>
      <c r="P198" s="37">
        <f aca="true" t="shared" si="18" ref="P198:P224">+IF(M198="item",O198,IF(M198&lt;&gt;0,M198*O198,""))</f>
      </c>
      <c r="Q198" s="54"/>
      <c r="S198" s="113"/>
      <c r="T198" s="12"/>
      <c r="U198" s="12"/>
      <c r="V198" s="12"/>
      <c r="W198" s="19"/>
      <c r="X198" s="111"/>
    </row>
    <row r="199" spans="1:24" ht="12.75" hidden="1" outlineLevel="1">
      <c r="A199" s="60"/>
      <c r="B199" s="61"/>
      <c r="C199" s="64"/>
      <c r="D199" s="63"/>
      <c r="E199" s="44" t="s">
        <v>121</v>
      </c>
      <c r="F199" s="33">
        <v>2</v>
      </c>
      <c r="G199" s="42" t="s">
        <v>8</v>
      </c>
      <c r="H199" s="43">
        <v>4</v>
      </c>
      <c r="I199" s="43">
        <f>register250</f>
        <v>140.725</v>
      </c>
      <c r="J199" s="36">
        <f>IF(+I199+H199&gt;0,I199+(H199*labour),"")</f>
        <v>260.725</v>
      </c>
      <c r="K199" s="37">
        <f t="shared" si="17"/>
        <v>521.45</v>
      </c>
      <c r="L199" s="31" t="s">
        <v>124</v>
      </c>
      <c r="M199" s="33">
        <f>+F199</f>
        <v>2</v>
      </c>
      <c r="N199" s="42"/>
      <c r="O199" s="36">
        <f>+I199</f>
        <v>140.725</v>
      </c>
      <c r="P199" s="37">
        <f t="shared" si="18"/>
        <v>281.45</v>
      </c>
      <c r="Q199" s="54"/>
      <c r="S199" s="110"/>
      <c r="T199" s="114"/>
      <c r="U199" s="12"/>
      <c r="V199" s="12"/>
      <c r="W199" s="19"/>
      <c r="X199" s="111"/>
    </row>
    <row r="200" spans="1:24" ht="12.75" hidden="1" outlineLevel="1">
      <c r="A200" s="60"/>
      <c r="B200" s="61"/>
      <c r="C200" s="64"/>
      <c r="D200" s="63"/>
      <c r="E200" s="44"/>
      <c r="F200" s="33"/>
      <c r="G200" s="42"/>
      <c r="H200" s="43"/>
      <c r="I200" s="43"/>
      <c r="J200" s="36"/>
      <c r="K200" s="37">
        <f t="shared" si="17"/>
      </c>
      <c r="L200" s="31"/>
      <c r="M200" s="33"/>
      <c r="N200" s="42"/>
      <c r="O200" s="36"/>
      <c r="P200" s="37">
        <f t="shared" si="18"/>
      </c>
      <c r="Q200" s="54"/>
      <c r="S200" s="110"/>
      <c r="T200" s="12"/>
      <c r="U200" s="12"/>
      <c r="V200" s="12"/>
      <c r="W200" s="19"/>
      <c r="X200" s="111"/>
    </row>
    <row r="201" spans="1:24" ht="12.75" hidden="1" outlineLevel="1">
      <c r="A201" s="60"/>
      <c r="B201" s="61"/>
      <c r="C201" s="64"/>
      <c r="D201" s="63"/>
      <c r="E201" s="44" t="s">
        <v>125</v>
      </c>
      <c r="F201" s="33">
        <v>2</v>
      </c>
      <c r="G201" s="42" t="s">
        <v>8</v>
      </c>
      <c r="H201" s="43"/>
      <c r="I201" s="43"/>
      <c r="J201" s="36">
        <v>25</v>
      </c>
      <c r="K201" s="37">
        <f t="shared" si="17"/>
        <v>50</v>
      </c>
      <c r="L201" s="31"/>
      <c r="M201" s="33">
        <v>1</v>
      </c>
      <c r="N201" s="42" t="s">
        <v>8</v>
      </c>
      <c r="O201" s="36">
        <f>+J201</f>
        <v>25</v>
      </c>
      <c r="P201" s="37">
        <f t="shared" si="18"/>
        <v>25</v>
      </c>
      <c r="Q201" s="54"/>
      <c r="S201" s="110"/>
      <c r="T201" s="114"/>
      <c r="U201" s="12"/>
      <c r="V201" s="12"/>
      <c r="W201" s="19"/>
      <c r="X201" s="111"/>
    </row>
    <row r="202" spans="1:24" ht="12.75" hidden="1" outlineLevel="1">
      <c r="A202" s="60"/>
      <c r="B202" s="61"/>
      <c r="C202" s="64"/>
      <c r="D202" s="63"/>
      <c r="E202" s="44"/>
      <c r="F202" s="33"/>
      <c r="G202" s="42"/>
      <c r="H202" s="43"/>
      <c r="I202" s="43"/>
      <c r="J202" s="36">
        <f>IF(+I202+H202&gt;0,I202+(H202*labour),"")</f>
      </c>
      <c r="K202" s="37">
        <f t="shared" si="17"/>
      </c>
      <c r="L202" s="31"/>
      <c r="M202" s="33"/>
      <c r="N202" s="42"/>
      <c r="O202" s="36"/>
      <c r="P202" s="37">
        <f t="shared" si="18"/>
      </c>
      <c r="Q202" s="54"/>
      <c r="S202" s="110"/>
      <c r="T202" s="12"/>
      <c r="U202" s="12"/>
      <c r="V202" s="12"/>
      <c r="W202" s="19"/>
      <c r="X202" s="111"/>
    </row>
    <row r="203" spans="1:24" ht="12.75" hidden="1" outlineLevel="1">
      <c r="A203" s="60"/>
      <c r="B203" s="61"/>
      <c r="C203" s="64"/>
      <c r="D203" s="63"/>
      <c r="E203" s="44" t="s">
        <v>7</v>
      </c>
      <c r="F203" s="33">
        <v>2</v>
      </c>
      <c r="G203" s="42" t="s">
        <v>8</v>
      </c>
      <c r="H203" s="43"/>
      <c r="I203" s="43"/>
      <c r="J203" s="36">
        <v>10</v>
      </c>
      <c r="K203" s="37">
        <f t="shared" si="17"/>
        <v>20</v>
      </c>
      <c r="L203" s="31"/>
      <c r="M203" s="33">
        <v>1</v>
      </c>
      <c r="N203" s="42" t="s">
        <v>8</v>
      </c>
      <c r="O203" s="36">
        <f>+J203</f>
        <v>10</v>
      </c>
      <c r="P203" s="37">
        <f t="shared" si="18"/>
        <v>10</v>
      </c>
      <c r="Q203" s="54"/>
      <c r="S203" s="110"/>
      <c r="T203" s="114"/>
      <c r="U203" s="12"/>
      <c r="V203" s="12"/>
      <c r="W203" s="19"/>
      <c r="X203" s="111"/>
    </row>
    <row r="204" spans="1:24" ht="12.75" hidden="1" outlineLevel="1">
      <c r="A204" s="60"/>
      <c r="B204" s="61"/>
      <c r="C204" s="64"/>
      <c r="D204" s="63"/>
      <c r="E204" s="44"/>
      <c r="F204" s="33"/>
      <c r="G204" s="42"/>
      <c r="H204" s="43"/>
      <c r="I204" s="43"/>
      <c r="J204" s="36"/>
      <c r="K204" s="37"/>
      <c r="L204" s="31"/>
      <c r="M204" s="33"/>
      <c r="N204" s="42"/>
      <c r="O204" s="36"/>
      <c r="P204" s="37"/>
      <c r="Q204" s="54"/>
      <c r="S204" s="110"/>
      <c r="T204" s="114"/>
      <c r="U204" s="12"/>
      <c r="V204" s="12"/>
      <c r="W204" s="19"/>
      <c r="X204" s="111"/>
    </row>
    <row r="205" spans="1:24" ht="12.75" hidden="1" outlineLevel="1">
      <c r="A205" s="60"/>
      <c r="B205" s="61"/>
      <c r="C205" s="64"/>
      <c r="D205" s="63"/>
      <c r="E205" s="38" t="s">
        <v>362</v>
      </c>
      <c r="F205" s="33">
        <v>10</v>
      </c>
      <c r="G205" s="34" t="s">
        <v>363</v>
      </c>
      <c r="H205" s="39"/>
      <c r="I205" s="39"/>
      <c r="J205" s="36">
        <f>SUM(K198:K204)</f>
        <v>591.45</v>
      </c>
      <c r="K205" s="37">
        <f>+J205*F205%</f>
        <v>59.14500000000001</v>
      </c>
      <c r="L205" s="31"/>
      <c r="M205" s="33"/>
      <c r="N205" s="42"/>
      <c r="O205" s="36"/>
      <c r="P205" s="37"/>
      <c r="Q205" s="54"/>
      <c r="S205" s="110"/>
      <c r="T205" s="114"/>
      <c r="U205" s="12"/>
      <c r="V205" s="12"/>
      <c r="W205" s="19"/>
      <c r="X205" s="111"/>
    </row>
    <row r="206" spans="1:24" ht="12.75" collapsed="1">
      <c r="A206" s="60"/>
      <c r="B206" s="61"/>
      <c r="C206" s="64"/>
      <c r="D206" s="63"/>
      <c r="E206" s="44"/>
      <c r="F206" s="33"/>
      <c r="G206" s="42"/>
      <c r="H206" s="43"/>
      <c r="I206" s="43"/>
      <c r="J206" s="36">
        <f aca="true" t="shared" si="19" ref="J206:J213">IF(+I206+H206&gt;0,I206+(H206*labour),"")</f>
      </c>
      <c r="K206" s="37">
        <f t="shared" si="17"/>
      </c>
      <c r="L206" s="31"/>
      <c r="M206" s="33"/>
      <c r="N206" s="42"/>
      <c r="O206" s="36"/>
      <c r="P206" s="37">
        <f t="shared" si="18"/>
      </c>
      <c r="Q206" s="54"/>
      <c r="S206" s="110"/>
      <c r="T206" s="12"/>
      <c r="U206" s="12"/>
      <c r="V206" s="12"/>
      <c r="W206" s="19"/>
      <c r="X206" s="111"/>
    </row>
    <row r="207" spans="1:24" ht="12.75">
      <c r="A207" s="60"/>
      <c r="B207" s="61"/>
      <c r="C207" s="64"/>
      <c r="D207" s="63"/>
      <c r="E207" s="44"/>
      <c r="F207" s="33"/>
      <c r="G207" s="42"/>
      <c r="H207" s="43"/>
      <c r="I207" s="43"/>
      <c r="J207" s="36">
        <f t="shared" si="19"/>
      </c>
      <c r="K207" s="37">
        <f t="shared" si="17"/>
      </c>
      <c r="L207" s="31"/>
      <c r="M207" s="33"/>
      <c r="N207" s="42"/>
      <c r="O207" s="36"/>
      <c r="P207" s="37">
        <f t="shared" si="18"/>
      </c>
      <c r="Q207" s="54"/>
      <c r="S207" s="110"/>
      <c r="T207" s="12"/>
      <c r="U207" s="12"/>
      <c r="V207" s="12"/>
      <c r="W207" s="19"/>
      <c r="X207" s="111"/>
    </row>
    <row r="208" spans="1:24" ht="12.75">
      <c r="A208" s="60"/>
      <c r="B208" s="61"/>
      <c r="C208" s="64"/>
      <c r="D208" s="63"/>
      <c r="E208" s="77" t="s">
        <v>126</v>
      </c>
      <c r="F208" s="33"/>
      <c r="G208" s="42"/>
      <c r="H208" s="43"/>
      <c r="I208" s="43"/>
      <c r="J208" s="36">
        <f t="shared" si="19"/>
      </c>
      <c r="K208" s="53">
        <f>SUM(K209:K220)</f>
        <v>908.09312</v>
      </c>
      <c r="L208" s="31"/>
      <c r="M208" s="72"/>
      <c r="N208" s="73"/>
      <c r="O208" s="74"/>
      <c r="P208" s="75">
        <f t="shared" si="18"/>
      </c>
      <c r="Q208" s="76"/>
      <c r="S208" s="110"/>
      <c r="T208" s="12"/>
      <c r="U208" s="12"/>
      <c r="V208" s="12"/>
      <c r="W208" s="112">
        <f>SUM(W209:W218)</f>
        <v>13.75</v>
      </c>
      <c r="X208" s="111"/>
    </row>
    <row r="209" spans="1:24" ht="12.75">
      <c r="A209" s="60"/>
      <c r="B209" s="61"/>
      <c r="C209" s="64"/>
      <c r="D209" s="63"/>
      <c r="E209" s="44"/>
      <c r="F209" s="33"/>
      <c r="G209" s="42"/>
      <c r="H209" s="43"/>
      <c r="I209" s="43"/>
      <c r="J209" s="36">
        <f t="shared" si="19"/>
      </c>
      <c r="K209" s="37">
        <f aca="true" t="shared" si="20" ref="K209:K222">+IF(F209="item",J209,IF(F209&lt;&gt;0,F209*J209,""))</f>
      </c>
      <c r="L209" s="31"/>
      <c r="M209" s="72"/>
      <c r="N209" s="73"/>
      <c r="O209" s="74"/>
      <c r="P209" s="75">
        <f t="shared" si="18"/>
      </c>
      <c r="Q209" s="76"/>
      <c r="S209" s="113" t="s">
        <v>257</v>
      </c>
      <c r="T209" s="12"/>
      <c r="U209" s="12"/>
      <c r="V209" s="12"/>
      <c r="W209" s="19"/>
      <c r="X209" s="111"/>
    </row>
    <row r="210" spans="1:24" ht="12.75" hidden="1" outlineLevel="1">
      <c r="A210" s="60"/>
      <c r="B210" s="61"/>
      <c r="C210" s="64"/>
      <c r="D210" s="63"/>
      <c r="E210" s="44" t="s">
        <v>127</v>
      </c>
      <c r="F210" s="33" t="s">
        <v>1</v>
      </c>
      <c r="G210" s="42"/>
      <c r="H210" s="43">
        <v>4</v>
      </c>
      <c r="I210" s="43">
        <v>50</v>
      </c>
      <c r="J210" s="36">
        <f t="shared" si="19"/>
        <v>170</v>
      </c>
      <c r="K210" s="37">
        <f t="shared" si="20"/>
        <v>170</v>
      </c>
      <c r="L210" s="31"/>
      <c r="M210" s="72"/>
      <c r="N210" s="73"/>
      <c r="O210" s="74"/>
      <c r="P210" s="75">
        <f t="shared" si="18"/>
      </c>
      <c r="Q210" s="76"/>
      <c r="S210" s="110" t="str">
        <f>+E210</f>
        <v>Sheepswool packed under skirtings</v>
      </c>
      <c r="T210" s="114">
        <f>+K210</f>
        <v>170</v>
      </c>
      <c r="U210" s="12"/>
      <c r="V210" s="12">
        <v>60</v>
      </c>
      <c r="W210" s="19">
        <f>ROUND(+IF(V210&gt;0,T210/V210,""),2)</f>
        <v>2.83</v>
      </c>
      <c r="X210" s="111"/>
    </row>
    <row r="211" spans="1:24" ht="12.75" hidden="1" outlineLevel="1">
      <c r="A211" s="60"/>
      <c r="B211" s="61"/>
      <c r="C211" s="64"/>
      <c r="D211" s="63"/>
      <c r="E211" s="44"/>
      <c r="F211" s="33"/>
      <c r="G211" s="42"/>
      <c r="H211" s="43"/>
      <c r="I211" s="43"/>
      <c r="J211" s="36">
        <f t="shared" si="19"/>
      </c>
      <c r="K211" s="37">
        <f t="shared" si="20"/>
      </c>
      <c r="L211" s="31"/>
      <c r="M211" s="72"/>
      <c r="N211" s="73"/>
      <c r="O211" s="74"/>
      <c r="P211" s="75">
        <f t="shared" si="18"/>
      </c>
      <c r="Q211" s="76"/>
      <c r="S211" s="110"/>
      <c r="T211" s="12"/>
      <c r="U211" s="12"/>
      <c r="V211" s="12"/>
      <c r="W211" s="19"/>
      <c r="X211" s="111"/>
    </row>
    <row r="212" spans="1:24" ht="12.75" hidden="1" outlineLevel="1">
      <c r="A212" s="60"/>
      <c r="B212" s="61"/>
      <c r="C212" s="64"/>
      <c r="D212" s="63"/>
      <c r="E212" s="44" t="s">
        <v>128</v>
      </c>
      <c r="F212" s="33">
        <f>+F103</f>
        <v>48</v>
      </c>
      <c r="G212" s="42" t="s">
        <v>35</v>
      </c>
      <c r="H212" s="43">
        <v>0.1</v>
      </c>
      <c r="I212" s="43">
        <f>hardboard</f>
        <v>2.9904</v>
      </c>
      <c r="J212" s="36">
        <f t="shared" si="19"/>
        <v>5.9904</v>
      </c>
      <c r="K212" s="37">
        <f t="shared" si="20"/>
        <v>287.5392</v>
      </c>
      <c r="L212" s="31"/>
      <c r="M212" s="72"/>
      <c r="N212" s="73"/>
      <c r="O212" s="74"/>
      <c r="P212" s="75">
        <f t="shared" si="18"/>
      </c>
      <c r="Q212" s="76"/>
      <c r="S212" s="110" t="str">
        <f>+E212</f>
        <v>Tempered hardboard to boards</v>
      </c>
      <c r="T212" s="114">
        <f>+K212</f>
        <v>287.5392</v>
      </c>
      <c r="U212" s="12"/>
      <c r="V212" s="12">
        <v>60</v>
      </c>
      <c r="W212" s="19">
        <f>ROUND(+IF(V212&gt;0,T212/V212,""),2)</f>
        <v>4.79</v>
      </c>
      <c r="X212" s="111"/>
    </row>
    <row r="213" spans="1:24" ht="12.75" hidden="1" outlineLevel="1">
      <c r="A213" s="60"/>
      <c r="B213" s="61"/>
      <c r="C213" s="64"/>
      <c r="D213" s="63"/>
      <c r="E213" s="44"/>
      <c r="F213" s="33"/>
      <c r="G213" s="42"/>
      <c r="H213" s="43"/>
      <c r="I213" s="43"/>
      <c r="J213" s="36">
        <f t="shared" si="19"/>
      </c>
      <c r="K213" s="37">
        <f t="shared" si="20"/>
      </c>
      <c r="L213" s="31"/>
      <c r="M213" s="72"/>
      <c r="N213" s="73"/>
      <c r="O213" s="74"/>
      <c r="P213" s="75">
        <f t="shared" si="18"/>
      </c>
      <c r="Q213" s="76"/>
      <c r="S213" s="110"/>
      <c r="T213" s="12"/>
      <c r="U213" s="12"/>
      <c r="V213" s="12"/>
      <c r="W213" s="19"/>
      <c r="X213" s="111"/>
    </row>
    <row r="214" spans="1:24" ht="12.75" hidden="1" outlineLevel="1">
      <c r="A214" s="60"/>
      <c r="B214" s="61"/>
      <c r="C214" s="64"/>
      <c r="D214" s="63"/>
      <c r="E214" s="44" t="s">
        <v>125</v>
      </c>
      <c r="F214" s="33" t="s">
        <v>1</v>
      </c>
      <c r="G214" s="42"/>
      <c r="H214" s="43"/>
      <c r="I214" s="43"/>
      <c r="J214" s="36">
        <v>50</v>
      </c>
      <c r="K214" s="37">
        <f t="shared" si="20"/>
        <v>50</v>
      </c>
      <c r="L214" s="31"/>
      <c r="M214" s="72"/>
      <c r="N214" s="73"/>
      <c r="O214" s="74"/>
      <c r="P214" s="75">
        <f t="shared" si="18"/>
      </c>
      <c r="Q214" s="76"/>
      <c r="S214" s="110" t="str">
        <f>+E214</f>
        <v>Sundry materials/plant</v>
      </c>
      <c r="T214" s="114">
        <f>+K214</f>
        <v>50</v>
      </c>
      <c r="U214" s="12"/>
      <c r="V214" s="12">
        <v>60</v>
      </c>
      <c r="W214" s="19">
        <f>ROUND(+IF(V214&gt;0,T214/V214,""),2)</f>
        <v>0.83</v>
      </c>
      <c r="X214" s="111"/>
    </row>
    <row r="215" spans="1:24" ht="12.75" hidden="1" outlineLevel="1">
      <c r="A215" s="60"/>
      <c r="B215" s="61"/>
      <c r="C215" s="64"/>
      <c r="D215" s="63"/>
      <c r="E215" s="44"/>
      <c r="F215" s="33"/>
      <c r="G215" s="42"/>
      <c r="H215" s="43"/>
      <c r="I215" s="43"/>
      <c r="J215" s="36">
        <f>IF(+I215+H215&gt;0,I215+(H215*labour),"")</f>
      </c>
      <c r="K215" s="37">
        <f t="shared" si="20"/>
      </c>
      <c r="L215" s="31"/>
      <c r="M215" s="72"/>
      <c r="N215" s="73"/>
      <c r="O215" s="74"/>
      <c r="P215" s="75">
        <f t="shared" si="18"/>
      </c>
      <c r="Q215" s="76"/>
      <c r="S215" s="110"/>
      <c r="T215" s="12"/>
      <c r="U215" s="12"/>
      <c r="V215" s="12"/>
      <c r="W215" s="19"/>
      <c r="X215" s="111"/>
    </row>
    <row r="216" spans="1:24" ht="12.75" hidden="1" outlineLevel="1">
      <c r="A216" s="60"/>
      <c r="B216" s="61"/>
      <c r="C216" s="64"/>
      <c r="D216" s="63"/>
      <c r="E216" s="44" t="s">
        <v>131</v>
      </c>
      <c r="F216" s="33">
        <f>+F212</f>
        <v>48</v>
      </c>
      <c r="G216" s="42" t="s">
        <v>35</v>
      </c>
      <c r="H216" s="43"/>
      <c r="I216" s="43"/>
      <c r="J216" s="36">
        <f>+J103</f>
        <v>6</v>
      </c>
      <c r="K216" s="37">
        <f t="shared" si="20"/>
        <v>288</v>
      </c>
      <c r="L216" s="31"/>
      <c r="M216" s="72"/>
      <c r="N216" s="73"/>
      <c r="O216" s="74"/>
      <c r="P216" s="75">
        <f t="shared" si="18"/>
      </c>
      <c r="Q216" s="76"/>
      <c r="S216" s="110" t="str">
        <f>+E216</f>
        <v>Lifting/ relaying carpet</v>
      </c>
      <c r="T216" s="114">
        <f>+K216</f>
        <v>288</v>
      </c>
      <c r="U216" s="12"/>
      <c r="V216" s="12">
        <v>60</v>
      </c>
      <c r="W216" s="19">
        <f>ROUND(+IF(V216&gt;0,T216/V216,""),2)</f>
        <v>4.8</v>
      </c>
      <c r="X216" s="111"/>
    </row>
    <row r="217" spans="1:24" ht="12.75" hidden="1" outlineLevel="1">
      <c r="A217" s="60"/>
      <c r="B217" s="61"/>
      <c r="C217" s="64"/>
      <c r="D217" s="63"/>
      <c r="E217" s="44"/>
      <c r="F217" s="33"/>
      <c r="G217" s="42"/>
      <c r="H217" s="43"/>
      <c r="I217" s="43"/>
      <c r="J217" s="36">
        <f aca="true" t="shared" si="21" ref="J217:J224">IF(+I217+H217&gt;0,I217+(H217*labour),"")</f>
      </c>
      <c r="K217" s="37">
        <f t="shared" si="20"/>
      </c>
      <c r="L217" s="31"/>
      <c r="M217" s="72"/>
      <c r="N217" s="73"/>
      <c r="O217" s="74"/>
      <c r="P217" s="75">
        <f t="shared" si="18"/>
      </c>
      <c r="Q217" s="76"/>
      <c r="S217" s="110"/>
      <c r="T217" s="12"/>
      <c r="U217" s="12"/>
      <c r="V217" s="12"/>
      <c r="W217" s="19"/>
      <c r="X217" s="111"/>
    </row>
    <row r="218" spans="1:24" ht="12.75" hidden="1" outlineLevel="1">
      <c r="A218" s="60"/>
      <c r="B218" s="61"/>
      <c r="C218" s="64"/>
      <c r="D218" s="63"/>
      <c r="E218" s="44" t="s">
        <v>132</v>
      </c>
      <c r="F218" s="33">
        <f>+F107</f>
        <v>60</v>
      </c>
      <c r="G218" s="42" t="s">
        <v>108</v>
      </c>
      <c r="H218" s="43"/>
      <c r="I218" s="90">
        <f>+I107</f>
        <v>0.5</v>
      </c>
      <c r="J218" s="39">
        <f t="shared" si="21"/>
        <v>0.5</v>
      </c>
      <c r="K218" s="37">
        <f t="shared" si="20"/>
        <v>30</v>
      </c>
      <c r="L218" s="31"/>
      <c r="M218" s="72"/>
      <c r="N218" s="73"/>
      <c r="O218" s="74"/>
      <c r="P218" s="75">
        <f t="shared" si="18"/>
      </c>
      <c r="Q218" s="76"/>
      <c r="S218" s="110" t="str">
        <f>+E218</f>
        <v>Grippers</v>
      </c>
      <c r="T218" s="114">
        <f>+K218</f>
        <v>30</v>
      </c>
      <c r="U218" s="12"/>
      <c r="V218" s="12">
        <v>60</v>
      </c>
      <c r="W218" s="19">
        <f>ROUND(+IF(V218&gt;0,T218/V218,""),2)</f>
        <v>0.5</v>
      </c>
      <c r="X218" s="111"/>
    </row>
    <row r="219" spans="1:24" ht="12.75" hidden="1" outlineLevel="1">
      <c r="A219" s="60"/>
      <c r="B219" s="61"/>
      <c r="C219" s="64"/>
      <c r="D219" s="63"/>
      <c r="E219" s="44"/>
      <c r="F219" s="33"/>
      <c r="G219" s="42"/>
      <c r="H219" s="43"/>
      <c r="I219" s="90"/>
      <c r="J219" s="39"/>
      <c r="K219" s="37"/>
      <c r="L219" s="31"/>
      <c r="M219" s="72"/>
      <c r="N219" s="73"/>
      <c r="O219" s="74"/>
      <c r="P219" s="75"/>
      <c r="Q219" s="76"/>
      <c r="S219" s="110"/>
      <c r="T219" s="114"/>
      <c r="U219" s="12"/>
      <c r="V219" s="12"/>
      <c r="W219" s="19"/>
      <c r="X219" s="111"/>
    </row>
    <row r="220" spans="1:24" ht="12.75" hidden="1" outlineLevel="1">
      <c r="A220" s="60"/>
      <c r="B220" s="61"/>
      <c r="C220" s="64"/>
      <c r="D220" s="63"/>
      <c r="E220" s="38" t="s">
        <v>362</v>
      </c>
      <c r="F220" s="33">
        <v>10</v>
      </c>
      <c r="G220" s="34" t="s">
        <v>363</v>
      </c>
      <c r="H220" s="39"/>
      <c r="I220" s="164"/>
      <c r="J220" s="39">
        <f>SUM(K210:K219)</f>
        <v>825.5391999999999</v>
      </c>
      <c r="K220" s="37">
        <f>+J220*F220%</f>
        <v>82.55392</v>
      </c>
      <c r="L220" s="31"/>
      <c r="M220" s="72"/>
      <c r="N220" s="73"/>
      <c r="O220" s="74"/>
      <c r="P220" s="75"/>
      <c r="Q220" s="76"/>
      <c r="S220" s="110"/>
      <c r="T220" s="114"/>
      <c r="U220" s="12"/>
      <c r="V220" s="12"/>
      <c r="W220" s="19"/>
      <c r="X220" s="111"/>
    </row>
    <row r="221" spans="1:24" ht="12.75" collapsed="1">
      <c r="A221" s="60"/>
      <c r="B221" s="61"/>
      <c r="C221" s="64"/>
      <c r="D221" s="63"/>
      <c r="E221" s="44"/>
      <c r="F221" s="33"/>
      <c r="G221" s="42"/>
      <c r="H221" s="43"/>
      <c r="I221" s="43"/>
      <c r="J221" s="36">
        <f t="shared" si="21"/>
      </c>
      <c r="K221" s="37">
        <f t="shared" si="20"/>
      </c>
      <c r="L221" s="31"/>
      <c r="M221" s="33"/>
      <c r="N221" s="42"/>
      <c r="O221" s="36"/>
      <c r="P221" s="37">
        <f t="shared" si="18"/>
      </c>
      <c r="Q221" s="54"/>
      <c r="S221" s="110"/>
      <c r="T221" s="12"/>
      <c r="U221" s="12"/>
      <c r="V221" s="12"/>
      <c r="W221" s="19"/>
      <c r="X221" s="111"/>
    </row>
    <row r="222" spans="1:24" ht="12.75">
      <c r="A222" s="60"/>
      <c r="B222" s="61"/>
      <c r="C222" s="64"/>
      <c r="D222" s="63"/>
      <c r="E222" s="44"/>
      <c r="F222" s="33"/>
      <c r="G222" s="42"/>
      <c r="H222" s="43"/>
      <c r="I222" s="43"/>
      <c r="J222" s="36">
        <f t="shared" si="21"/>
      </c>
      <c r="K222" s="37">
        <f t="shared" si="20"/>
      </c>
      <c r="L222" s="31"/>
      <c r="M222" s="33"/>
      <c r="N222" s="42"/>
      <c r="O222" s="36"/>
      <c r="P222" s="37">
        <f t="shared" si="18"/>
      </c>
      <c r="Q222" s="54"/>
      <c r="S222" s="110"/>
      <c r="T222" s="12"/>
      <c r="U222" s="12"/>
      <c r="V222" s="12"/>
      <c r="W222" s="19"/>
      <c r="X222" s="111"/>
    </row>
    <row r="223" spans="1:24" s="151" customFormat="1" ht="25.5" customHeight="1">
      <c r="A223" s="143"/>
      <c r="B223" s="144"/>
      <c r="C223" s="86"/>
      <c r="D223" s="87"/>
      <c r="E223" s="77" t="s">
        <v>428</v>
      </c>
      <c r="F223" s="45"/>
      <c r="G223" s="42"/>
      <c r="H223" s="43"/>
      <c r="I223" s="43"/>
      <c r="J223" s="147">
        <f t="shared" si="21"/>
      </c>
      <c r="K223" s="169">
        <f>SUM(K225:K239)</f>
        <v>1997.916666666667</v>
      </c>
      <c r="L223" s="149"/>
      <c r="M223" s="45"/>
      <c r="N223" s="42"/>
      <c r="O223" s="147"/>
      <c r="P223" s="148">
        <f t="shared" si="18"/>
      </c>
      <c r="Q223" s="150"/>
      <c r="S223" s="152"/>
      <c r="T223" s="153"/>
      <c r="U223" s="153"/>
      <c r="V223" s="153"/>
      <c r="W223" s="154"/>
      <c r="X223" s="167"/>
    </row>
    <row r="224" spans="1:24" ht="12.75" hidden="1" outlineLevel="1">
      <c r="A224" s="60"/>
      <c r="B224" s="61"/>
      <c r="C224" s="64"/>
      <c r="D224" s="63"/>
      <c r="E224" s="44"/>
      <c r="F224" s="33"/>
      <c r="G224" s="42"/>
      <c r="H224" s="43"/>
      <c r="I224" s="43"/>
      <c r="J224" s="36">
        <f t="shared" si="21"/>
      </c>
      <c r="K224" s="37">
        <f>+IF(F224="item",J224,IF(F224&lt;&gt;0,F224*J224,""))</f>
      </c>
      <c r="L224" s="31"/>
      <c r="M224" s="33"/>
      <c r="N224" s="42"/>
      <c r="O224" s="36"/>
      <c r="P224" s="37">
        <f t="shared" si="18"/>
      </c>
      <c r="Q224" s="54"/>
      <c r="S224" s="110"/>
      <c r="T224" s="12"/>
      <c r="U224" s="12"/>
      <c r="V224" s="12"/>
      <c r="W224" s="19"/>
      <c r="X224" s="111"/>
    </row>
    <row r="225" spans="1:24" ht="12.75" hidden="1" outlineLevel="1">
      <c r="A225" s="60"/>
      <c r="B225" s="61"/>
      <c r="C225" s="64"/>
      <c r="D225" s="63"/>
      <c r="E225" s="44" t="s">
        <v>429</v>
      </c>
      <c r="F225" s="33"/>
      <c r="G225" s="42"/>
      <c r="H225" s="43"/>
      <c r="I225" s="43"/>
      <c r="J225" s="36">
        <v>650</v>
      </c>
      <c r="K225" s="37">
        <f>+J225</f>
        <v>650</v>
      </c>
      <c r="L225" s="31" t="s">
        <v>430</v>
      </c>
      <c r="M225" s="33"/>
      <c r="N225" s="42"/>
      <c r="O225" s="36"/>
      <c r="P225" s="37"/>
      <c r="Q225" s="54"/>
      <c r="S225" s="110"/>
      <c r="T225" s="12"/>
      <c r="U225" s="12"/>
      <c r="V225" s="12"/>
      <c r="W225" s="19"/>
      <c r="X225" s="111"/>
    </row>
    <row r="226" spans="1:24" ht="12.75" hidden="1" outlineLevel="1">
      <c r="A226" s="60"/>
      <c r="B226" s="61"/>
      <c r="C226" s="64"/>
      <c r="D226" s="63"/>
      <c r="E226" s="44"/>
      <c r="F226" s="33"/>
      <c r="G226" s="42"/>
      <c r="H226" s="43"/>
      <c r="I226" s="43"/>
      <c r="J226" s="36"/>
      <c r="K226" s="37"/>
      <c r="L226" s="31"/>
      <c r="M226" s="33"/>
      <c r="N226" s="42"/>
      <c r="O226" s="36"/>
      <c r="P226" s="37"/>
      <c r="Q226" s="54"/>
      <c r="S226" s="110"/>
      <c r="T226" s="12"/>
      <c r="U226" s="12"/>
      <c r="V226" s="12"/>
      <c r="W226" s="19"/>
      <c r="X226" s="111"/>
    </row>
    <row r="227" spans="1:24" ht="12.75" hidden="1" outlineLevel="1">
      <c r="A227" s="60"/>
      <c r="B227" s="61"/>
      <c r="C227" s="64"/>
      <c r="D227" s="63"/>
      <c r="E227" s="44" t="s">
        <v>431</v>
      </c>
      <c r="F227" s="33">
        <f>+ROUND(D234,0)</f>
        <v>10</v>
      </c>
      <c r="G227" s="42" t="s">
        <v>215</v>
      </c>
      <c r="H227" s="43"/>
      <c r="I227" s="43"/>
      <c r="J227" s="36">
        <f>+polybeadbulk</f>
        <v>94.79166666666669</v>
      </c>
      <c r="K227" s="37">
        <f>+IF(F227="item",J227,IF(F227&lt;&gt;0,F227*J227,""))</f>
        <v>947.9166666666669</v>
      </c>
      <c r="L227" s="31" t="s">
        <v>432</v>
      </c>
      <c r="M227" s="33"/>
      <c r="N227" s="42"/>
      <c r="O227" s="36"/>
      <c r="P227" s="37"/>
      <c r="Q227" s="54"/>
      <c r="S227" s="110"/>
      <c r="T227" s="12"/>
      <c r="U227" s="12"/>
      <c r="V227" s="12"/>
      <c r="W227" s="19"/>
      <c r="X227" s="111"/>
    </row>
    <row r="228" spans="1:24" ht="12.75" hidden="1" outlineLevel="1">
      <c r="A228" s="60"/>
      <c r="B228" s="61"/>
      <c r="C228" s="64">
        <f>+F103</f>
        <v>48</v>
      </c>
      <c r="D228" s="63"/>
      <c r="E228" s="44"/>
      <c r="F228" s="33"/>
      <c r="G228" s="42"/>
      <c r="H228" s="43"/>
      <c r="I228" s="43"/>
      <c r="J228" s="36"/>
      <c r="K228" s="37"/>
      <c r="L228" s="31"/>
      <c r="M228" s="33"/>
      <c r="N228" s="42"/>
      <c r="O228" s="36"/>
      <c r="P228" s="37"/>
      <c r="Q228" s="54"/>
      <c r="S228" s="110"/>
      <c r="T228" s="12"/>
      <c r="U228" s="12"/>
      <c r="V228" s="12"/>
      <c r="W228" s="19"/>
      <c r="X228" s="111"/>
    </row>
    <row r="229" spans="1:24" ht="12.75" hidden="1" outlineLevel="1">
      <c r="A229" s="60"/>
      <c r="B229" s="61"/>
      <c r="C229" s="135">
        <v>0.23</v>
      </c>
      <c r="D229" s="63">
        <f>+C228*C229</f>
        <v>11.040000000000001</v>
      </c>
      <c r="E229" s="44"/>
      <c r="F229" s="33"/>
      <c r="G229" s="42"/>
      <c r="H229" s="43"/>
      <c r="I229" s="43"/>
      <c r="J229" s="36"/>
      <c r="K229" s="37"/>
      <c r="L229" s="31"/>
      <c r="M229" s="33"/>
      <c r="N229" s="42"/>
      <c r="O229" s="36"/>
      <c r="P229" s="37"/>
      <c r="Q229" s="54"/>
      <c r="S229" s="110"/>
      <c r="T229" s="12"/>
      <c r="U229" s="12"/>
      <c r="V229" s="12"/>
      <c r="W229" s="19"/>
      <c r="X229" s="111"/>
    </row>
    <row r="230" spans="1:24" ht="12.75" hidden="1" outlineLevel="1">
      <c r="A230" s="60"/>
      <c r="B230" s="66">
        <v>-2.5</v>
      </c>
      <c r="C230" s="64">
        <f>+C228</f>
        <v>48</v>
      </c>
      <c r="D230" s="63"/>
      <c r="E230" s="44"/>
      <c r="F230" s="33"/>
      <c r="G230" s="42"/>
      <c r="H230" s="43"/>
      <c r="I230" s="43"/>
      <c r="J230" s="36"/>
      <c r="K230" s="37"/>
      <c r="L230" s="31"/>
      <c r="M230" s="33"/>
      <c r="N230" s="42"/>
      <c r="O230" s="36"/>
      <c r="P230" s="37"/>
      <c r="Q230" s="54"/>
      <c r="S230" s="110"/>
      <c r="T230" s="12"/>
      <c r="U230" s="12"/>
      <c r="V230" s="12"/>
      <c r="W230" s="19"/>
      <c r="X230" s="111"/>
    </row>
    <row r="231" spans="1:24" ht="12.75" hidden="1" outlineLevel="1">
      <c r="A231" s="60"/>
      <c r="B231" s="61"/>
      <c r="C231" s="64">
        <v>0.05</v>
      </c>
      <c r="D231" s="63"/>
      <c r="E231" s="44"/>
      <c r="F231" s="33"/>
      <c r="G231" s="42"/>
      <c r="H231" s="43"/>
      <c r="I231" s="43"/>
      <c r="J231" s="36"/>
      <c r="K231" s="37"/>
      <c r="L231" s="31"/>
      <c r="M231" s="33"/>
      <c r="N231" s="42"/>
      <c r="O231" s="36"/>
      <c r="P231" s="37"/>
      <c r="Q231" s="54"/>
      <c r="S231" s="110"/>
      <c r="T231" s="12"/>
      <c r="U231" s="12"/>
      <c r="V231" s="12"/>
      <c r="W231" s="19"/>
      <c r="X231" s="111"/>
    </row>
    <row r="232" spans="1:24" ht="12.75" hidden="1" outlineLevel="1">
      <c r="A232" s="60"/>
      <c r="B232" s="61"/>
      <c r="C232" s="135">
        <v>0.23</v>
      </c>
      <c r="D232" s="63">
        <f>+C232*C231*C230*B230</f>
        <v>-1.3800000000000001</v>
      </c>
      <c r="E232" s="44"/>
      <c r="F232" s="33"/>
      <c r="G232" s="42"/>
      <c r="H232" s="43"/>
      <c r="I232" s="43"/>
      <c r="J232" s="36"/>
      <c r="K232" s="37"/>
      <c r="L232" s="31"/>
      <c r="M232" s="33"/>
      <c r="N232" s="42"/>
      <c r="O232" s="36"/>
      <c r="P232" s="37"/>
      <c r="Q232" s="54"/>
      <c r="S232" s="110"/>
      <c r="T232" s="12"/>
      <c r="U232" s="12"/>
      <c r="V232" s="12"/>
      <c r="W232" s="19"/>
      <c r="X232" s="111"/>
    </row>
    <row r="233" spans="1:24" ht="12.75" hidden="1" outlineLevel="1">
      <c r="A233" s="60"/>
      <c r="B233" s="61"/>
      <c r="C233" s="64"/>
      <c r="D233" s="65"/>
      <c r="E233" s="44"/>
      <c r="F233" s="33"/>
      <c r="G233" s="42"/>
      <c r="H233" s="43"/>
      <c r="I233" s="43"/>
      <c r="J233" s="36"/>
      <c r="K233" s="37"/>
      <c r="L233" s="31"/>
      <c r="M233" s="33"/>
      <c r="N233" s="42"/>
      <c r="O233" s="36"/>
      <c r="P233" s="37"/>
      <c r="Q233" s="54"/>
      <c r="S233" s="110"/>
      <c r="T233" s="12"/>
      <c r="U233" s="12"/>
      <c r="V233" s="12"/>
      <c r="W233" s="19"/>
      <c r="X233" s="111"/>
    </row>
    <row r="234" spans="1:24" ht="12.75" hidden="1" outlineLevel="1">
      <c r="A234" s="60"/>
      <c r="B234" s="61"/>
      <c r="C234" s="64"/>
      <c r="D234" s="65">
        <f>SUM(D229:D233)</f>
        <v>9.66</v>
      </c>
      <c r="E234" s="44"/>
      <c r="F234" s="33"/>
      <c r="G234" s="42"/>
      <c r="H234" s="43"/>
      <c r="I234" s="43"/>
      <c r="J234" s="36"/>
      <c r="K234" s="37"/>
      <c r="L234" s="31"/>
      <c r="M234" s="33"/>
      <c r="N234" s="42"/>
      <c r="O234" s="36"/>
      <c r="P234" s="37"/>
      <c r="Q234" s="54"/>
      <c r="S234" s="110"/>
      <c r="T234" s="12"/>
      <c r="U234" s="12"/>
      <c r="V234" s="12"/>
      <c r="W234" s="19"/>
      <c r="X234" s="111"/>
    </row>
    <row r="235" spans="1:24" ht="12.75" hidden="1" outlineLevel="1">
      <c r="A235" s="60"/>
      <c r="B235" s="61"/>
      <c r="C235" s="64"/>
      <c r="D235" s="65"/>
      <c r="E235" s="44"/>
      <c r="F235" s="33"/>
      <c r="G235" s="42"/>
      <c r="H235" s="43"/>
      <c r="I235" s="43"/>
      <c r="J235" s="36"/>
      <c r="K235" s="37"/>
      <c r="L235" s="31"/>
      <c r="M235" s="33"/>
      <c r="N235" s="42"/>
      <c r="O235" s="36"/>
      <c r="P235" s="37"/>
      <c r="Q235" s="54"/>
      <c r="S235" s="110"/>
      <c r="T235" s="12"/>
      <c r="U235" s="12"/>
      <c r="V235" s="12"/>
      <c r="W235" s="19"/>
      <c r="X235" s="111"/>
    </row>
    <row r="236" spans="1:24" ht="12.75" hidden="1" outlineLevel="1">
      <c r="A236" s="60"/>
      <c r="B236" s="61"/>
      <c r="C236" s="64"/>
      <c r="D236" s="65"/>
      <c r="E236" s="44"/>
      <c r="F236" s="33"/>
      <c r="G236" s="42"/>
      <c r="H236" s="43"/>
      <c r="I236" s="43"/>
      <c r="J236" s="36"/>
      <c r="K236" s="37"/>
      <c r="L236" s="31"/>
      <c r="M236" s="33"/>
      <c r="N236" s="42"/>
      <c r="O236" s="36"/>
      <c r="P236" s="37"/>
      <c r="Q236" s="54"/>
      <c r="S236" s="110"/>
      <c r="T236" s="12"/>
      <c r="U236" s="12"/>
      <c r="V236" s="12"/>
      <c r="W236" s="19"/>
      <c r="X236" s="111"/>
    </row>
    <row r="237" spans="1:24" s="200" customFormat="1" ht="25.5" hidden="1" outlineLevel="1">
      <c r="A237" s="191"/>
      <c r="B237" s="192"/>
      <c r="C237" s="209"/>
      <c r="D237" s="194"/>
      <c r="E237" s="210" t="s">
        <v>435</v>
      </c>
      <c r="F237" s="14">
        <v>50</v>
      </c>
      <c r="G237" s="196" t="s">
        <v>8</v>
      </c>
      <c r="H237" s="197">
        <v>0.2</v>
      </c>
      <c r="I237" s="197">
        <v>2</v>
      </c>
      <c r="J237" s="198">
        <f>IF(+I237+H237&gt;0,I237+(H237*labour),"")</f>
        <v>8</v>
      </c>
      <c r="K237" s="199">
        <f>+IF(F237="item",J237,IF(F237&lt;&gt;0,F237*J237,""))</f>
        <v>400</v>
      </c>
      <c r="L237" s="31"/>
      <c r="M237" s="14"/>
      <c r="N237" s="196"/>
      <c r="O237" s="198"/>
      <c r="P237" s="199"/>
      <c r="Q237" s="54"/>
      <c r="S237" s="211"/>
      <c r="T237" s="206"/>
      <c r="U237" s="206"/>
      <c r="V237" s="206"/>
      <c r="W237" s="198"/>
      <c r="X237" s="207"/>
    </row>
    <row r="238" spans="1:24" ht="12.75" hidden="1" outlineLevel="1">
      <c r="A238" s="60"/>
      <c r="B238" s="61"/>
      <c r="C238" s="64"/>
      <c r="D238" s="63"/>
      <c r="E238" s="44"/>
      <c r="F238" s="33"/>
      <c r="G238" s="42"/>
      <c r="H238" s="43"/>
      <c r="I238" s="43"/>
      <c r="J238" s="36"/>
      <c r="K238" s="37"/>
      <c r="L238" s="31"/>
      <c r="M238" s="33"/>
      <c r="N238" s="42"/>
      <c r="O238" s="36"/>
      <c r="P238" s="37"/>
      <c r="Q238" s="54"/>
      <c r="S238" s="110"/>
      <c r="T238" s="12"/>
      <c r="U238" s="12"/>
      <c r="V238" s="12"/>
      <c r="W238" s="19"/>
      <c r="X238" s="111"/>
    </row>
    <row r="239" spans="1:24" ht="12.75" hidden="1" outlineLevel="1">
      <c r="A239" s="60"/>
      <c r="B239" s="61"/>
      <c r="C239" s="64"/>
      <c r="D239" s="63"/>
      <c r="E239" s="44"/>
      <c r="F239" s="33"/>
      <c r="G239" s="42"/>
      <c r="H239" s="43"/>
      <c r="I239" s="43"/>
      <c r="J239" s="36"/>
      <c r="K239" s="37"/>
      <c r="L239" s="31"/>
      <c r="M239" s="33"/>
      <c r="N239" s="42"/>
      <c r="O239" s="36"/>
      <c r="P239" s="37"/>
      <c r="Q239" s="54"/>
      <c r="S239" s="110"/>
      <c r="T239" s="12"/>
      <c r="U239" s="12"/>
      <c r="V239" s="12"/>
      <c r="W239" s="19"/>
      <c r="X239" s="111"/>
    </row>
    <row r="240" spans="1:24" ht="12.75" collapsed="1">
      <c r="A240" s="60"/>
      <c r="B240" s="61"/>
      <c r="C240" s="64"/>
      <c r="D240" s="63"/>
      <c r="E240" s="44"/>
      <c r="F240" s="33"/>
      <c r="G240" s="42"/>
      <c r="H240" s="43"/>
      <c r="I240" s="43"/>
      <c r="J240" s="36">
        <f>IF(+I240+H240&gt;0,I240+(H240*labour),"")</f>
      </c>
      <c r="K240" s="37">
        <f aca="true" t="shared" si="22" ref="K240:K248">+IF(F240="item",J240,IF(F240&lt;&gt;0,F240*J240,""))</f>
      </c>
      <c r="L240" s="31"/>
      <c r="M240" s="33"/>
      <c r="N240" s="42"/>
      <c r="O240" s="36"/>
      <c r="P240" s="37">
        <f aca="true" t="shared" si="23" ref="P240:P248">+IF(M240="item",O240,IF(M240&lt;&gt;0,M240*O240,""))</f>
      </c>
      <c r="Q240" s="54"/>
      <c r="S240" s="110"/>
      <c r="T240" s="12"/>
      <c r="U240" s="12"/>
      <c r="V240" s="12"/>
      <c r="W240" s="19"/>
      <c r="X240" s="111"/>
    </row>
    <row r="241" spans="1:24" ht="25.5">
      <c r="A241" s="60"/>
      <c r="B241" s="61"/>
      <c r="C241" s="64"/>
      <c r="D241" s="63"/>
      <c r="E241" s="77" t="s">
        <v>134</v>
      </c>
      <c r="F241" s="33"/>
      <c r="G241" s="42"/>
      <c r="H241" s="43"/>
      <c r="I241" s="43"/>
      <c r="J241" s="36">
        <f>IF(+I241+H241&gt;0,I241+(H241*labour),"")</f>
      </c>
      <c r="K241" s="37">
        <f t="shared" si="22"/>
      </c>
      <c r="L241" s="126" t="s">
        <v>141</v>
      </c>
      <c r="M241" s="72"/>
      <c r="N241" s="73"/>
      <c r="O241" s="74"/>
      <c r="P241" s="75">
        <f t="shared" si="23"/>
      </c>
      <c r="Q241" s="76"/>
      <c r="S241" s="110"/>
      <c r="T241" s="12"/>
      <c r="U241" s="12"/>
      <c r="V241" s="12"/>
      <c r="W241" s="19"/>
      <c r="X241" s="111"/>
    </row>
    <row r="242" spans="1:24" ht="12.75">
      <c r="A242" s="60"/>
      <c r="B242" s="61"/>
      <c r="C242" s="64"/>
      <c r="D242" s="63"/>
      <c r="E242" s="44"/>
      <c r="F242" s="33"/>
      <c r="G242" s="42"/>
      <c r="H242" s="43"/>
      <c r="I242" s="43"/>
      <c r="J242" s="36">
        <f>IF(+I242+H242&gt;0,I242+(H242*labour),"")</f>
      </c>
      <c r="K242" s="37">
        <f t="shared" si="22"/>
      </c>
      <c r="L242" s="31"/>
      <c r="M242" s="33"/>
      <c r="N242" s="42"/>
      <c r="O242" s="36"/>
      <c r="P242" s="37">
        <f t="shared" si="23"/>
      </c>
      <c r="Q242" s="54"/>
      <c r="S242" s="110"/>
      <c r="T242" s="12"/>
      <c r="U242" s="12"/>
      <c r="V242" s="12"/>
      <c r="W242" s="19"/>
      <c r="X242" s="111"/>
    </row>
    <row r="243" spans="1:24" ht="25.5">
      <c r="A243" s="60"/>
      <c r="B243" s="61"/>
      <c r="C243" s="64"/>
      <c r="D243" s="63"/>
      <c r="E243" s="77" t="s">
        <v>135</v>
      </c>
      <c r="F243" s="33"/>
      <c r="G243" s="42"/>
      <c r="H243" s="43"/>
      <c r="I243" s="43"/>
      <c r="J243" s="36">
        <f>IF(+I243+H243&gt;0,I243+(H243*labour),"")</f>
      </c>
      <c r="K243" s="53">
        <f>SUM(K244:K246)</f>
        <v>8250</v>
      </c>
      <c r="L243" s="31"/>
      <c r="M243" s="72"/>
      <c r="N243" s="73"/>
      <c r="O243" s="74"/>
      <c r="P243" s="75">
        <f t="shared" si="23"/>
      </c>
      <c r="Q243" s="76"/>
      <c r="S243" s="110"/>
      <c r="T243" s="12"/>
      <c r="U243" s="12"/>
      <c r="V243" s="12"/>
      <c r="W243" s="112"/>
      <c r="X243" s="116" t="s">
        <v>265</v>
      </c>
    </row>
    <row r="244" spans="1:24" ht="12.75" hidden="1" outlineLevel="1">
      <c r="A244" s="60"/>
      <c r="B244" s="61"/>
      <c r="C244" s="64"/>
      <c r="D244" s="63"/>
      <c r="E244" s="44"/>
      <c r="F244" s="33"/>
      <c r="G244" s="42"/>
      <c r="H244" s="43"/>
      <c r="I244" s="43"/>
      <c r="J244" s="36">
        <f>IF(+I244+H244&gt;0,I244+(H244*labour),"")</f>
      </c>
      <c r="K244" s="37">
        <f t="shared" si="22"/>
      </c>
      <c r="L244" s="31"/>
      <c r="M244" s="72"/>
      <c r="N244" s="73"/>
      <c r="O244" s="74"/>
      <c r="P244" s="75">
        <f t="shared" si="23"/>
      </c>
      <c r="Q244" s="76"/>
      <c r="S244" s="113"/>
      <c r="T244" s="12"/>
      <c r="U244" s="12"/>
      <c r="V244" s="12"/>
      <c r="W244" s="19"/>
      <c r="X244" s="111"/>
    </row>
    <row r="245" spans="1:24" ht="12.75" hidden="1" outlineLevel="1">
      <c r="A245" s="60"/>
      <c r="B245" s="61"/>
      <c r="C245" s="64"/>
      <c r="D245" s="63"/>
      <c r="E245" s="44" t="s">
        <v>136</v>
      </c>
      <c r="F245" s="33">
        <v>11</v>
      </c>
      <c r="G245" s="42" t="s">
        <v>8</v>
      </c>
      <c r="H245" s="43"/>
      <c r="I245" s="43"/>
      <c r="J245" s="36">
        <v>750</v>
      </c>
      <c r="K245" s="37">
        <f t="shared" si="22"/>
        <v>8250</v>
      </c>
      <c r="L245" s="31" t="s">
        <v>137</v>
      </c>
      <c r="M245" s="72"/>
      <c r="N245" s="73"/>
      <c r="O245" s="74"/>
      <c r="P245" s="75">
        <f t="shared" si="23"/>
      </c>
      <c r="Q245" s="76"/>
      <c r="S245" s="121"/>
      <c r="T245" s="114"/>
      <c r="U245" s="12"/>
      <c r="V245" s="12"/>
      <c r="W245" s="19"/>
      <c r="X245" s="111"/>
    </row>
    <row r="246" spans="1:24" ht="12.75" collapsed="1">
      <c r="A246" s="60"/>
      <c r="B246" s="61"/>
      <c r="C246" s="64"/>
      <c r="D246" s="63"/>
      <c r="E246" s="44"/>
      <c r="F246" s="33"/>
      <c r="G246" s="42"/>
      <c r="H246" s="43"/>
      <c r="I246" s="43"/>
      <c r="J246" s="36">
        <f>IF(+I246+H246&gt;0,I246+(H246*labour),"")</f>
      </c>
      <c r="K246" s="37">
        <f t="shared" si="22"/>
      </c>
      <c r="L246" s="31"/>
      <c r="M246" s="33"/>
      <c r="N246" s="42"/>
      <c r="O246" s="36"/>
      <c r="P246" s="37">
        <f t="shared" si="23"/>
      </c>
      <c r="Q246" s="54"/>
      <c r="S246" s="110"/>
      <c r="T246" s="12"/>
      <c r="U246" s="12"/>
      <c r="V246" s="12"/>
      <c r="W246" s="19"/>
      <c r="X246" s="111"/>
    </row>
    <row r="247" spans="1:24" ht="12.75">
      <c r="A247" s="60"/>
      <c r="B247" s="61"/>
      <c r="C247" s="64"/>
      <c r="D247" s="63"/>
      <c r="E247" s="77" t="s">
        <v>138</v>
      </c>
      <c r="F247" s="33"/>
      <c r="G247" s="42"/>
      <c r="H247" s="43"/>
      <c r="I247" s="43"/>
      <c r="J247" s="36">
        <f>IF(+I247+H247&gt;0,I247+(H247*labour),"")</f>
      </c>
      <c r="K247" s="53">
        <f>SUM(K248:K250)</f>
        <v>4062.24</v>
      </c>
      <c r="L247" s="126"/>
      <c r="M247" s="72"/>
      <c r="N247" s="73"/>
      <c r="O247" s="74"/>
      <c r="P247" s="75">
        <f t="shared" si="23"/>
      </c>
      <c r="Q247" s="76"/>
      <c r="S247" s="110"/>
      <c r="T247" s="114"/>
      <c r="U247" s="12"/>
      <c r="V247" s="12"/>
      <c r="W247" s="19"/>
      <c r="X247" s="116"/>
    </row>
    <row r="248" spans="1:24" ht="12.75" outlineLevel="1">
      <c r="A248" s="60"/>
      <c r="B248" s="61"/>
      <c r="C248" s="62"/>
      <c r="D248" s="63"/>
      <c r="E248" s="77"/>
      <c r="F248" s="33"/>
      <c r="G248" s="42"/>
      <c r="H248" s="43"/>
      <c r="I248" s="43"/>
      <c r="J248" s="36">
        <f>IF(+I248+H248&gt;0,I248+(H248*labour),"")</f>
      </c>
      <c r="K248" s="37">
        <f t="shared" si="22"/>
      </c>
      <c r="L248" s="31"/>
      <c r="M248" s="33"/>
      <c r="N248" s="42"/>
      <c r="O248" s="36"/>
      <c r="P248" s="37">
        <f t="shared" si="23"/>
      </c>
      <c r="Q248" s="54"/>
      <c r="S248" s="110"/>
      <c r="T248" s="12"/>
      <c r="U248" s="12"/>
      <c r="V248" s="12"/>
      <c r="W248" s="19"/>
      <c r="X248" s="111"/>
    </row>
    <row r="249" spans="1:24" ht="38.25" outlineLevel="1">
      <c r="A249" s="60"/>
      <c r="B249" s="61">
        <v>2</v>
      </c>
      <c r="C249" s="62">
        <v>3</v>
      </c>
      <c r="D249" s="63"/>
      <c r="E249" s="44" t="s">
        <v>437</v>
      </c>
      <c r="F249" s="14">
        <f>ROUND(D268,0)</f>
        <v>20</v>
      </c>
      <c r="G249" s="196" t="s">
        <v>35</v>
      </c>
      <c r="H249" s="197"/>
      <c r="I249" s="197"/>
      <c r="J249" s="198">
        <f>dg</f>
        <v>203.112</v>
      </c>
      <c r="K249" s="199">
        <f>+IF(F249="item",J249,IF(F249&lt;&gt;0,F249*J249,""))</f>
        <v>4062.24</v>
      </c>
      <c r="L249" s="31"/>
      <c r="M249" s="33"/>
      <c r="N249" s="42"/>
      <c r="O249" s="36"/>
      <c r="P249" s="37"/>
      <c r="Q249" s="54"/>
      <c r="S249" s="110"/>
      <c r="T249" s="12"/>
      <c r="U249" s="12"/>
      <c r="V249" s="12"/>
      <c r="W249" s="19"/>
      <c r="X249" s="111"/>
    </row>
    <row r="250" spans="1:24" ht="12.75" outlineLevel="1">
      <c r="A250" s="60"/>
      <c r="B250" s="61"/>
      <c r="C250" s="135">
        <v>1.5</v>
      </c>
      <c r="D250" s="63">
        <f>+C250*C249*B249</f>
        <v>9</v>
      </c>
      <c r="E250" s="77"/>
      <c r="F250" s="33"/>
      <c r="G250" s="42"/>
      <c r="H250" s="43"/>
      <c r="I250" s="43"/>
      <c r="J250" s="36"/>
      <c r="K250" s="37"/>
      <c r="L250" s="31"/>
      <c r="M250" s="33"/>
      <c r="N250" s="42"/>
      <c r="O250" s="36"/>
      <c r="P250" s="37"/>
      <c r="Q250" s="54"/>
      <c r="S250" s="110"/>
      <c r="T250" s="12"/>
      <c r="U250" s="12"/>
      <c r="V250" s="12"/>
      <c r="W250" s="19"/>
      <c r="X250" s="111"/>
    </row>
    <row r="251" spans="1:24" ht="12.75" outlineLevel="1">
      <c r="A251" s="60"/>
      <c r="B251" s="61"/>
      <c r="C251" s="62">
        <v>0.7</v>
      </c>
      <c r="D251" s="63"/>
      <c r="E251" s="77"/>
      <c r="F251" s="33"/>
      <c r="G251" s="42"/>
      <c r="H251" s="43"/>
      <c r="I251" s="43"/>
      <c r="J251" s="36"/>
      <c r="K251" s="37"/>
      <c r="L251" s="31"/>
      <c r="M251" s="33"/>
      <c r="N251" s="42"/>
      <c r="O251" s="36"/>
      <c r="P251" s="37"/>
      <c r="Q251" s="54"/>
      <c r="S251" s="110"/>
      <c r="T251" s="12"/>
      <c r="U251" s="12"/>
      <c r="V251" s="12"/>
      <c r="W251" s="19"/>
      <c r="X251" s="111"/>
    </row>
    <row r="252" spans="1:24" ht="12.75" outlineLevel="1">
      <c r="A252" s="60"/>
      <c r="B252" s="61"/>
      <c r="C252" s="135">
        <v>1.2</v>
      </c>
      <c r="D252" s="63">
        <f>+C251*C252</f>
        <v>0.84</v>
      </c>
      <c r="E252" s="77"/>
      <c r="F252" s="33"/>
      <c r="G252" s="42"/>
      <c r="H252" s="43"/>
      <c r="I252" s="43"/>
      <c r="J252" s="36"/>
      <c r="K252" s="37"/>
      <c r="L252" s="31"/>
      <c r="M252" s="33"/>
      <c r="N252" s="42"/>
      <c r="O252" s="36"/>
      <c r="P252" s="37"/>
      <c r="Q252" s="54"/>
      <c r="S252" s="110"/>
      <c r="T252" s="12"/>
      <c r="U252" s="12"/>
      <c r="V252" s="12"/>
      <c r="W252" s="19"/>
      <c r="X252" s="111"/>
    </row>
    <row r="253" spans="1:24" ht="12.75" outlineLevel="1">
      <c r="A253" s="60"/>
      <c r="B253" s="61"/>
      <c r="C253" s="62">
        <v>0.25</v>
      </c>
      <c r="D253" s="63"/>
      <c r="E253" s="77"/>
      <c r="F253" s="33"/>
      <c r="G253" s="42"/>
      <c r="H253" s="43"/>
      <c r="I253" s="43"/>
      <c r="J253" s="36"/>
      <c r="K253" s="37"/>
      <c r="L253" s="31"/>
      <c r="M253" s="33"/>
      <c r="N253" s="42"/>
      <c r="O253" s="36"/>
      <c r="P253" s="37"/>
      <c r="Q253" s="54"/>
      <c r="S253" s="110"/>
      <c r="T253" s="12"/>
      <c r="U253" s="12"/>
      <c r="V253" s="12"/>
      <c r="W253" s="19"/>
      <c r="X253" s="111"/>
    </row>
    <row r="254" spans="1:24" ht="12.75" outlineLevel="1">
      <c r="A254" s="60"/>
      <c r="B254" s="61"/>
      <c r="C254" s="135">
        <v>2.4</v>
      </c>
      <c r="D254" s="63">
        <f>+C253*C254</f>
        <v>0.6</v>
      </c>
      <c r="E254" s="77"/>
      <c r="F254" s="33"/>
      <c r="G254" s="42"/>
      <c r="H254" s="43"/>
      <c r="I254" s="43"/>
      <c r="J254" s="36"/>
      <c r="K254" s="37"/>
      <c r="L254" s="31"/>
      <c r="M254" s="33"/>
      <c r="N254" s="42"/>
      <c r="O254" s="36"/>
      <c r="P254" s="37"/>
      <c r="Q254" s="54"/>
      <c r="S254" s="110"/>
      <c r="T254" s="12"/>
      <c r="U254" s="12"/>
      <c r="V254" s="12"/>
      <c r="W254" s="19"/>
      <c r="X254" s="111"/>
    </row>
    <row r="255" spans="1:24" ht="12.75" outlineLevel="1">
      <c r="A255" s="60"/>
      <c r="B255" s="61">
        <v>4</v>
      </c>
      <c r="C255" s="62">
        <v>0.5</v>
      </c>
      <c r="D255" s="63"/>
      <c r="E255" s="77"/>
      <c r="F255" s="33"/>
      <c r="G255" s="42"/>
      <c r="H255" s="43"/>
      <c r="I255" s="43"/>
      <c r="J255" s="36"/>
      <c r="K255" s="37"/>
      <c r="L255" s="31"/>
      <c r="M255" s="33"/>
      <c r="N255" s="42"/>
      <c r="O255" s="36"/>
      <c r="P255" s="37"/>
      <c r="Q255" s="54"/>
      <c r="S255" s="110"/>
      <c r="T255" s="12"/>
      <c r="U255" s="12"/>
      <c r="V255" s="12"/>
      <c r="W255" s="19"/>
      <c r="X255" s="111"/>
    </row>
    <row r="256" spans="1:24" ht="12.75" outlineLevel="1">
      <c r="A256" s="60"/>
      <c r="B256" s="61"/>
      <c r="C256" s="135">
        <v>1.5</v>
      </c>
      <c r="D256" s="63">
        <f>+C256*C255*B255</f>
        <v>3</v>
      </c>
      <c r="E256" s="77"/>
      <c r="F256" s="33"/>
      <c r="G256" s="42"/>
      <c r="H256" s="43"/>
      <c r="I256" s="43"/>
      <c r="J256" s="36"/>
      <c r="K256" s="37"/>
      <c r="L256" s="31"/>
      <c r="M256" s="33"/>
      <c r="N256" s="42"/>
      <c r="O256" s="36"/>
      <c r="P256" s="37"/>
      <c r="Q256" s="54"/>
      <c r="S256" s="110"/>
      <c r="T256" s="12"/>
      <c r="U256" s="12"/>
      <c r="V256" s="12"/>
      <c r="W256" s="19"/>
      <c r="X256" s="111"/>
    </row>
    <row r="257" spans="1:24" ht="12.75" outlineLevel="1">
      <c r="A257" s="60"/>
      <c r="B257" s="61"/>
      <c r="C257" s="62">
        <v>0.8</v>
      </c>
      <c r="D257" s="63"/>
      <c r="E257" s="77"/>
      <c r="F257" s="33"/>
      <c r="G257" s="42"/>
      <c r="H257" s="43"/>
      <c r="I257" s="43"/>
      <c r="J257" s="36"/>
      <c r="K257" s="37"/>
      <c r="L257" s="31"/>
      <c r="M257" s="33"/>
      <c r="N257" s="42"/>
      <c r="O257" s="36"/>
      <c r="P257" s="37"/>
      <c r="Q257" s="54"/>
      <c r="S257" s="110"/>
      <c r="T257" s="12"/>
      <c r="U257" s="12"/>
      <c r="V257" s="12"/>
      <c r="W257" s="19"/>
      <c r="X257" s="111"/>
    </row>
    <row r="258" spans="1:24" ht="12.75" outlineLevel="1">
      <c r="A258" s="60"/>
      <c r="B258" s="61"/>
      <c r="C258" s="135">
        <v>1</v>
      </c>
      <c r="D258" s="63">
        <f>+C257*C258</f>
        <v>0.8</v>
      </c>
      <c r="E258" s="77"/>
      <c r="F258" s="33"/>
      <c r="G258" s="42"/>
      <c r="H258" s="43"/>
      <c r="I258" s="43"/>
      <c r="J258" s="36"/>
      <c r="K258" s="37"/>
      <c r="L258" s="31"/>
      <c r="M258" s="33"/>
      <c r="N258" s="42"/>
      <c r="O258" s="36"/>
      <c r="P258" s="37"/>
      <c r="Q258" s="54"/>
      <c r="S258" s="110"/>
      <c r="T258" s="12"/>
      <c r="U258" s="12"/>
      <c r="V258" s="12"/>
      <c r="W258" s="19"/>
      <c r="X258" s="111"/>
    </row>
    <row r="259" spans="1:24" ht="12.75" outlineLevel="1">
      <c r="A259" s="60"/>
      <c r="B259" s="61"/>
      <c r="C259" s="62">
        <v>1.2</v>
      </c>
      <c r="D259" s="63"/>
      <c r="E259" s="77"/>
      <c r="F259" s="33"/>
      <c r="G259" s="42"/>
      <c r="H259" s="43"/>
      <c r="I259" s="43"/>
      <c r="J259" s="36"/>
      <c r="K259" s="37"/>
      <c r="L259" s="31"/>
      <c r="M259" s="33"/>
      <c r="N259" s="42"/>
      <c r="O259" s="36"/>
      <c r="P259" s="37"/>
      <c r="Q259" s="54"/>
      <c r="S259" s="110"/>
      <c r="T259" s="12"/>
      <c r="U259" s="12"/>
      <c r="V259" s="12"/>
      <c r="W259" s="19"/>
      <c r="X259" s="111"/>
    </row>
    <row r="260" spans="1:24" ht="12.75" outlineLevel="1">
      <c r="A260" s="60"/>
      <c r="B260" s="61"/>
      <c r="C260" s="135">
        <v>1.5</v>
      </c>
      <c r="D260" s="63">
        <f>+C259*C260</f>
        <v>1.7999999999999998</v>
      </c>
      <c r="E260" s="77"/>
      <c r="F260" s="33"/>
      <c r="G260" s="42"/>
      <c r="H260" s="43"/>
      <c r="I260" s="43"/>
      <c r="J260" s="36"/>
      <c r="K260" s="37"/>
      <c r="L260" s="31"/>
      <c r="M260" s="33"/>
      <c r="N260" s="42"/>
      <c r="O260" s="36"/>
      <c r="P260" s="37"/>
      <c r="Q260" s="54"/>
      <c r="S260" s="110"/>
      <c r="T260" s="12"/>
      <c r="U260" s="12"/>
      <c r="V260" s="12"/>
      <c r="W260" s="19"/>
      <c r="X260" s="111"/>
    </row>
    <row r="261" spans="1:24" ht="12.75" outlineLevel="1">
      <c r="A261" s="60"/>
      <c r="B261" s="61"/>
      <c r="C261" s="62">
        <v>0.5</v>
      </c>
      <c r="D261" s="63"/>
      <c r="E261" s="77"/>
      <c r="F261" s="33"/>
      <c r="G261" s="42"/>
      <c r="H261" s="43"/>
      <c r="I261" s="43"/>
      <c r="J261" s="36"/>
      <c r="K261" s="37"/>
      <c r="L261" s="31"/>
      <c r="M261" s="33"/>
      <c r="N261" s="42"/>
      <c r="O261" s="36"/>
      <c r="P261" s="37"/>
      <c r="Q261" s="54"/>
      <c r="S261" s="110"/>
      <c r="T261" s="12"/>
      <c r="U261" s="12"/>
      <c r="V261" s="12"/>
      <c r="W261" s="19"/>
      <c r="X261" s="111"/>
    </row>
    <row r="262" spans="1:24" ht="12.75" outlineLevel="1">
      <c r="A262" s="60"/>
      <c r="B262" s="61"/>
      <c r="C262" s="135">
        <v>1</v>
      </c>
      <c r="D262" s="63">
        <f>+C261*C262</f>
        <v>0.5</v>
      </c>
      <c r="E262" s="77"/>
      <c r="F262" s="33"/>
      <c r="G262" s="42"/>
      <c r="H262" s="43"/>
      <c r="I262" s="43"/>
      <c r="J262" s="36"/>
      <c r="K262" s="37"/>
      <c r="L262" s="31"/>
      <c r="M262" s="33"/>
      <c r="N262" s="42"/>
      <c r="O262" s="36"/>
      <c r="P262" s="37"/>
      <c r="Q262" s="54"/>
      <c r="S262" s="110"/>
      <c r="T262" s="12"/>
      <c r="U262" s="12"/>
      <c r="V262" s="12"/>
      <c r="W262" s="19"/>
      <c r="X262" s="111"/>
    </row>
    <row r="263" spans="1:24" ht="12.75" outlineLevel="1">
      <c r="A263" s="60"/>
      <c r="B263" s="61"/>
      <c r="C263" s="62">
        <v>1.2</v>
      </c>
      <c r="D263" s="63"/>
      <c r="E263" s="77"/>
      <c r="F263" s="33"/>
      <c r="G263" s="42"/>
      <c r="H263" s="43"/>
      <c r="I263" s="43"/>
      <c r="J263" s="36"/>
      <c r="K263" s="37"/>
      <c r="L263" s="31"/>
      <c r="M263" s="33"/>
      <c r="N263" s="42"/>
      <c r="O263" s="36"/>
      <c r="P263" s="37"/>
      <c r="Q263" s="54"/>
      <c r="S263" s="110"/>
      <c r="T263" s="12"/>
      <c r="U263" s="12"/>
      <c r="V263" s="12"/>
      <c r="W263" s="19"/>
      <c r="X263" s="111"/>
    </row>
    <row r="264" spans="1:24" ht="12.75" outlineLevel="1">
      <c r="A264" s="60"/>
      <c r="B264" s="61"/>
      <c r="C264" s="135">
        <v>2.1</v>
      </c>
      <c r="D264" s="63">
        <f>+C263*C264</f>
        <v>2.52</v>
      </c>
      <c r="E264" s="77"/>
      <c r="F264" s="33"/>
      <c r="G264" s="42"/>
      <c r="H264" s="43"/>
      <c r="I264" s="43"/>
      <c r="J264" s="36"/>
      <c r="K264" s="37"/>
      <c r="L264" s="31"/>
      <c r="M264" s="33"/>
      <c r="N264" s="42"/>
      <c r="O264" s="36"/>
      <c r="P264" s="37"/>
      <c r="Q264" s="54"/>
      <c r="S264" s="110"/>
      <c r="T264" s="12"/>
      <c r="U264" s="12"/>
      <c r="V264" s="12"/>
      <c r="W264" s="19"/>
      <c r="X264" s="111"/>
    </row>
    <row r="265" spans="1:24" ht="12.75" outlineLevel="1">
      <c r="A265" s="60"/>
      <c r="B265" s="61">
        <v>2</v>
      </c>
      <c r="C265" s="62">
        <v>0.3</v>
      </c>
      <c r="D265" s="63"/>
      <c r="E265" s="77"/>
      <c r="F265" s="33"/>
      <c r="G265" s="42"/>
      <c r="H265" s="43"/>
      <c r="I265" s="43"/>
      <c r="J265" s="36"/>
      <c r="K265" s="37"/>
      <c r="L265" s="31"/>
      <c r="M265" s="33"/>
      <c r="N265" s="42"/>
      <c r="O265" s="36"/>
      <c r="P265" s="37"/>
      <c r="Q265" s="54"/>
      <c r="S265" s="110"/>
      <c r="T265" s="12"/>
      <c r="U265" s="12"/>
      <c r="V265" s="12"/>
      <c r="W265" s="19"/>
      <c r="X265" s="111"/>
    </row>
    <row r="266" spans="1:24" ht="12.75" outlineLevel="1">
      <c r="A266" s="60"/>
      <c r="B266" s="61"/>
      <c r="C266" s="135">
        <v>1.5</v>
      </c>
      <c r="D266" s="63">
        <f>+C266*C265*B265</f>
        <v>0.8999999999999999</v>
      </c>
      <c r="E266" s="77"/>
      <c r="F266" s="33"/>
      <c r="G266" s="42"/>
      <c r="H266" s="43"/>
      <c r="I266" s="43"/>
      <c r="J266" s="36"/>
      <c r="K266" s="37"/>
      <c r="L266" s="31"/>
      <c r="M266" s="33"/>
      <c r="N266" s="42"/>
      <c r="O266" s="36"/>
      <c r="P266" s="37"/>
      <c r="Q266" s="54"/>
      <c r="S266" s="110"/>
      <c r="T266" s="12"/>
      <c r="U266" s="12"/>
      <c r="V266" s="12"/>
      <c r="W266" s="19"/>
      <c r="X266" s="111"/>
    </row>
    <row r="267" spans="1:24" ht="12.75" outlineLevel="1">
      <c r="A267" s="60"/>
      <c r="B267" s="61"/>
      <c r="C267" s="62"/>
      <c r="D267" s="63"/>
      <c r="E267" s="77"/>
      <c r="F267" s="33"/>
      <c r="G267" s="42"/>
      <c r="H267" s="43"/>
      <c r="I267" s="43"/>
      <c r="J267" s="36"/>
      <c r="K267" s="37"/>
      <c r="L267" s="31"/>
      <c r="M267" s="33"/>
      <c r="N267" s="42"/>
      <c r="O267" s="36"/>
      <c r="P267" s="37"/>
      <c r="Q267" s="54"/>
      <c r="S267" s="110"/>
      <c r="T267" s="12"/>
      <c r="U267" s="12"/>
      <c r="V267" s="12"/>
      <c r="W267" s="19"/>
      <c r="X267" s="111"/>
    </row>
    <row r="268" spans="1:24" ht="12.75" outlineLevel="1">
      <c r="A268" s="60"/>
      <c r="B268" s="61"/>
      <c r="C268" s="62"/>
      <c r="D268" s="65">
        <f>SUM(D249:D267)</f>
        <v>19.959999999999997</v>
      </c>
      <c r="E268" s="77"/>
      <c r="F268" s="33"/>
      <c r="G268" s="42"/>
      <c r="H268" s="43"/>
      <c r="I268" s="43"/>
      <c r="J268" s="36"/>
      <c r="K268" s="37"/>
      <c r="L268" s="31"/>
      <c r="M268" s="33"/>
      <c r="N268" s="42"/>
      <c r="O268" s="36"/>
      <c r="P268" s="37"/>
      <c r="Q268" s="54"/>
      <c r="S268" s="110"/>
      <c r="T268" s="12"/>
      <c r="U268" s="12"/>
      <c r="V268" s="12"/>
      <c r="W268" s="19"/>
      <c r="X268" s="111"/>
    </row>
    <row r="269" spans="1:24" ht="12.75">
      <c r="A269" s="60"/>
      <c r="B269" s="61"/>
      <c r="C269" s="62"/>
      <c r="D269" s="63"/>
      <c r="E269" s="77"/>
      <c r="F269" s="33"/>
      <c r="G269" s="42"/>
      <c r="H269" s="43"/>
      <c r="I269" s="43"/>
      <c r="J269" s="36"/>
      <c r="K269" s="37"/>
      <c r="L269" s="31"/>
      <c r="M269" s="33"/>
      <c r="N269" s="42"/>
      <c r="O269" s="36"/>
      <c r="P269" s="37"/>
      <c r="Q269" s="54"/>
      <c r="S269" s="110"/>
      <c r="T269" s="12"/>
      <c r="U269" s="12"/>
      <c r="V269" s="12"/>
      <c r="W269" s="19"/>
      <c r="X269" s="111"/>
    </row>
    <row r="270" spans="1:24" ht="12.75">
      <c r="A270" s="60"/>
      <c r="B270" s="61"/>
      <c r="C270" s="62"/>
      <c r="D270" s="63"/>
      <c r="E270" s="77"/>
      <c r="F270" s="33"/>
      <c r="G270" s="42"/>
      <c r="H270" s="43"/>
      <c r="I270" s="43"/>
      <c r="J270" s="36"/>
      <c r="K270" s="37"/>
      <c r="L270" s="31"/>
      <c r="M270" s="33"/>
      <c r="N270" s="42"/>
      <c r="O270" s="36"/>
      <c r="P270" s="37"/>
      <c r="Q270" s="54"/>
      <c r="S270" s="110"/>
      <c r="T270" s="12"/>
      <c r="U270" s="12"/>
      <c r="V270" s="12"/>
      <c r="W270" s="19"/>
      <c r="X270" s="111"/>
    </row>
    <row r="271" spans="1:24" ht="12.75">
      <c r="A271" s="60"/>
      <c r="B271" s="61"/>
      <c r="C271" s="62"/>
      <c r="D271" s="63"/>
      <c r="E271" s="77"/>
      <c r="F271" s="33"/>
      <c r="G271" s="42"/>
      <c r="H271" s="43"/>
      <c r="I271" s="43"/>
      <c r="J271" s="36"/>
      <c r="K271" s="37"/>
      <c r="L271" s="31"/>
      <c r="M271" s="33"/>
      <c r="N271" s="42"/>
      <c r="O271" s="36"/>
      <c r="P271" s="37"/>
      <c r="Q271" s="54"/>
      <c r="S271" s="110"/>
      <c r="T271" s="12"/>
      <c r="U271" s="12"/>
      <c r="V271" s="12"/>
      <c r="W271" s="19"/>
      <c r="X271" s="111"/>
    </row>
    <row r="272" spans="1:24" ht="25.5">
      <c r="A272" s="60"/>
      <c r="B272" s="61"/>
      <c r="C272" s="62"/>
      <c r="D272" s="65"/>
      <c r="E272" s="139" t="s">
        <v>139</v>
      </c>
      <c r="F272" s="72"/>
      <c r="G272" s="73"/>
      <c r="H272" s="140"/>
      <c r="I272" s="140"/>
      <c r="J272" s="74">
        <f>IF(+I272+H272&gt;0,I272+(H272*labour),"")</f>
      </c>
      <c r="K272" s="75">
        <f>+IF(F272="item",J272,IF(F272&lt;&gt;0,F272*J272,""))</f>
      </c>
      <c r="L272" s="141" t="s">
        <v>322</v>
      </c>
      <c r="M272" s="72"/>
      <c r="N272" s="73"/>
      <c r="O272" s="74"/>
      <c r="P272" s="75">
        <f>+IF(M272="item",O272,IF(M272&lt;&gt;0,M272*O272,""))</f>
      </c>
      <c r="Q272" s="76"/>
      <c r="S272" s="110"/>
      <c r="T272" s="12"/>
      <c r="U272" s="12"/>
      <c r="V272" s="12"/>
      <c r="W272" s="19"/>
      <c r="X272" s="116" t="s">
        <v>265</v>
      </c>
    </row>
    <row r="273" spans="1:24" ht="12.75">
      <c r="A273" s="60"/>
      <c r="B273" s="61"/>
      <c r="C273" s="62"/>
      <c r="D273" s="65"/>
      <c r="E273" s="77"/>
      <c r="F273" s="33"/>
      <c r="G273" s="42"/>
      <c r="H273" s="43"/>
      <c r="I273" s="43"/>
      <c r="J273" s="36"/>
      <c r="K273" s="37"/>
      <c r="L273" s="31"/>
      <c r="M273" s="72"/>
      <c r="N273" s="73"/>
      <c r="O273" s="74"/>
      <c r="P273" s="75">
        <f>+IF(M273="item",O273,IF(M273&lt;&gt;0,M273*O273,""))</f>
      </c>
      <c r="Q273" s="76"/>
      <c r="S273" s="110"/>
      <c r="T273" s="12"/>
      <c r="U273" s="12"/>
      <c r="V273" s="12"/>
      <c r="W273" s="19"/>
      <c r="X273" s="116"/>
    </row>
    <row r="274" spans="1:24" ht="25.5">
      <c r="A274" s="60"/>
      <c r="B274" s="61"/>
      <c r="C274" s="64"/>
      <c r="D274" s="63"/>
      <c r="E274" s="32" t="s">
        <v>356</v>
      </c>
      <c r="F274" s="33"/>
      <c r="G274" s="42"/>
      <c r="H274" s="43"/>
      <c r="I274" s="43"/>
      <c r="J274" s="36"/>
      <c r="K274" s="53">
        <f>SUM(K275:K277)</f>
        <v>422.09999999999997</v>
      </c>
      <c r="L274" s="31"/>
      <c r="M274" s="72"/>
      <c r="N274" s="73"/>
      <c r="O274" s="74"/>
      <c r="P274" s="75">
        <f>+IF(M274="item",O274,IF(M274&lt;&gt;0,M274*O274,""))</f>
      </c>
      <c r="Q274" s="76"/>
      <c r="S274" s="110"/>
      <c r="T274" s="12"/>
      <c r="U274" s="12"/>
      <c r="V274" s="12"/>
      <c r="W274" s="19"/>
      <c r="X274" s="116" t="s">
        <v>265</v>
      </c>
    </row>
    <row r="275" spans="1:24" ht="12.75" hidden="1" outlineLevel="1">
      <c r="A275" s="60"/>
      <c r="B275" s="61"/>
      <c r="C275" s="62"/>
      <c r="D275" s="63"/>
      <c r="E275" s="32"/>
      <c r="F275" s="33"/>
      <c r="G275" s="34"/>
      <c r="H275" s="39"/>
      <c r="I275" s="39"/>
      <c r="J275" s="36"/>
      <c r="K275" s="53"/>
      <c r="L275" s="31"/>
      <c r="M275" s="72"/>
      <c r="N275" s="73"/>
      <c r="O275" s="74"/>
      <c r="P275" s="75"/>
      <c r="Q275" s="76"/>
      <c r="S275" s="110"/>
      <c r="T275" s="12"/>
      <c r="U275" s="12"/>
      <c r="V275" s="12"/>
      <c r="W275" s="19"/>
      <c r="X275" s="116"/>
    </row>
    <row r="276" spans="1:24" ht="12.75" hidden="1" outlineLevel="1">
      <c r="A276" s="60"/>
      <c r="B276" s="61"/>
      <c r="C276" s="62"/>
      <c r="D276" s="63"/>
      <c r="E276" s="38" t="s">
        <v>384</v>
      </c>
      <c r="F276" s="33">
        <f>+F281</f>
        <v>67</v>
      </c>
      <c r="G276" s="34" t="s">
        <v>35</v>
      </c>
      <c r="H276" s="39"/>
      <c r="I276" s="39"/>
      <c r="J276" s="36">
        <f>polybeadwall</f>
        <v>6.3</v>
      </c>
      <c r="K276" s="37">
        <f>+IF(F276="item",J276,IF(F276&lt;&gt;0,F276*J276,""))</f>
        <v>422.09999999999997</v>
      </c>
      <c r="L276" s="31" t="s">
        <v>385</v>
      </c>
      <c r="M276" s="72"/>
      <c r="N276" s="73"/>
      <c r="O276" s="74"/>
      <c r="P276" s="75"/>
      <c r="Q276" s="76"/>
      <c r="S276" s="110"/>
      <c r="T276" s="12"/>
      <c r="U276" s="12"/>
      <c r="V276" s="12"/>
      <c r="W276" s="19"/>
      <c r="X276" s="116"/>
    </row>
    <row r="277" spans="1:24" ht="12.75" hidden="1" outlineLevel="1">
      <c r="A277" s="60"/>
      <c r="B277" s="61"/>
      <c r="C277" s="62"/>
      <c r="D277" s="63"/>
      <c r="E277" s="32"/>
      <c r="F277" s="33"/>
      <c r="G277" s="34"/>
      <c r="H277" s="39"/>
      <c r="I277" s="39"/>
      <c r="J277" s="36"/>
      <c r="K277" s="53"/>
      <c r="L277" s="31"/>
      <c r="M277" s="72"/>
      <c r="N277" s="73"/>
      <c r="O277" s="74"/>
      <c r="P277" s="75"/>
      <c r="Q277" s="76"/>
      <c r="S277" s="110"/>
      <c r="T277" s="12"/>
      <c r="U277" s="12"/>
      <c r="V277" s="12"/>
      <c r="W277" s="19"/>
      <c r="X277" s="116"/>
    </row>
    <row r="278" spans="1:24" ht="12.75" collapsed="1">
      <c r="A278" s="60"/>
      <c r="B278" s="61"/>
      <c r="C278" s="62"/>
      <c r="D278" s="65"/>
      <c r="E278" s="77"/>
      <c r="F278" s="33"/>
      <c r="G278" s="42"/>
      <c r="H278" s="43"/>
      <c r="I278" s="43"/>
      <c r="J278" s="36"/>
      <c r="K278" s="37">
        <f aca="true" t="shared" si="24" ref="K278:K326">+IF(F278="item",J278,IF(F278&lt;&gt;0,F278*J278,""))</f>
      </c>
      <c r="L278" s="31"/>
      <c r="M278" s="33"/>
      <c r="N278" s="42"/>
      <c r="O278" s="36"/>
      <c r="P278" s="37"/>
      <c r="Q278" s="54"/>
      <c r="S278" s="110"/>
      <c r="T278" s="12"/>
      <c r="U278" s="12"/>
      <c r="V278" s="12"/>
      <c r="W278" s="19"/>
      <c r="X278" s="111"/>
    </row>
    <row r="279" spans="1:24" ht="25.5">
      <c r="A279" s="60"/>
      <c r="B279" s="61"/>
      <c r="C279" s="62"/>
      <c r="D279" s="65"/>
      <c r="E279" s="77" t="s">
        <v>142</v>
      </c>
      <c r="F279" s="33"/>
      <c r="G279" s="42"/>
      <c r="H279" s="43"/>
      <c r="I279" s="43"/>
      <c r="J279" s="36"/>
      <c r="K279" s="53">
        <f>SUM(K281:K326)</f>
        <v>16143.6</v>
      </c>
      <c r="L279" s="31"/>
      <c r="M279" s="72"/>
      <c r="N279" s="73"/>
      <c r="O279" s="74"/>
      <c r="P279" s="75">
        <f>+IF(M279="item",O279,IF(M279&lt;&gt;0,M279*O279,""))</f>
      </c>
      <c r="Q279" s="76"/>
      <c r="S279" s="110"/>
      <c r="T279" s="12"/>
      <c r="U279" s="12"/>
      <c r="V279" s="12"/>
      <c r="W279" s="19"/>
      <c r="X279" s="111"/>
    </row>
    <row r="280" spans="1:24" ht="12.75">
      <c r="A280" s="60"/>
      <c r="B280" s="61"/>
      <c r="C280" s="62"/>
      <c r="D280" s="65"/>
      <c r="E280" s="77"/>
      <c r="F280" s="33"/>
      <c r="G280" s="42"/>
      <c r="H280" s="43"/>
      <c r="I280" s="43"/>
      <c r="J280" s="36"/>
      <c r="K280" s="37">
        <f t="shared" si="24"/>
      </c>
      <c r="L280" s="31"/>
      <c r="M280" s="72"/>
      <c r="N280" s="73"/>
      <c r="O280" s="74"/>
      <c r="P280" s="75">
        <f>+IF(M280="item",O280,IF(M280&lt;&gt;0,M280*O280,""))</f>
      </c>
      <c r="Q280" s="76"/>
      <c r="S280" s="110"/>
      <c r="T280" s="12"/>
      <c r="U280" s="12"/>
      <c r="V280" s="12"/>
      <c r="W280" s="19"/>
      <c r="X280" s="111"/>
    </row>
    <row r="281" spans="1:24" ht="51" hidden="1" outlineLevel="1">
      <c r="A281" s="60"/>
      <c r="B281" s="61"/>
      <c r="C281" s="62"/>
      <c r="D281" s="65"/>
      <c r="E281" s="44" t="s">
        <v>330</v>
      </c>
      <c r="F281" s="33">
        <f>ROUND(D305,0)</f>
        <v>67</v>
      </c>
      <c r="G281" s="42" t="s">
        <v>35</v>
      </c>
      <c r="H281" s="43"/>
      <c r="I281" s="43"/>
      <c r="J281" s="36">
        <f>pavadentro</f>
        <v>150</v>
      </c>
      <c r="K281" s="37">
        <f t="shared" si="24"/>
        <v>10050</v>
      </c>
      <c r="L281" s="31" t="s">
        <v>325</v>
      </c>
      <c r="M281" s="72"/>
      <c r="N281" s="73"/>
      <c r="O281" s="74"/>
      <c r="P281" s="75">
        <f>+IF(M281="item",O281,IF(M281&lt;&gt;0,M281*O281,""))</f>
      </c>
      <c r="Q281" s="76"/>
      <c r="S281" s="110"/>
      <c r="T281" s="12"/>
      <c r="U281" s="12"/>
      <c r="V281" s="12"/>
      <c r="W281" s="19"/>
      <c r="X281" s="111"/>
    </row>
    <row r="282" spans="1:24" ht="12.75" hidden="1" outlineLevel="1">
      <c r="A282" s="60"/>
      <c r="B282" s="61"/>
      <c r="C282" s="62">
        <v>6.2</v>
      </c>
      <c r="D282" s="63"/>
      <c r="E282" s="77"/>
      <c r="F282" s="33"/>
      <c r="G282" s="42"/>
      <c r="H282" s="43"/>
      <c r="I282" s="43"/>
      <c r="J282" s="36"/>
      <c r="K282" s="37">
        <f t="shared" si="24"/>
      </c>
      <c r="L282" s="31"/>
      <c r="M282" s="72"/>
      <c r="N282" s="73"/>
      <c r="O282" s="74"/>
      <c r="P282" s="75">
        <f>+IF(M282="item",O282,IF(M282&lt;&gt;0,M282*O282,""))</f>
      </c>
      <c r="Q282" s="76"/>
      <c r="S282" s="110"/>
      <c r="T282" s="12"/>
      <c r="U282" s="12"/>
      <c r="V282" s="12"/>
      <c r="W282" s="19"/>
      <c r="X282" s="111"/>
    </row>
    <row r="283" spans="1:24" ht="12.75" hidden="1" outlineLevel="1">
      <c r="A283" s="60"/>
      <c r="B283" s="61"/>
      <c r="C283" s="135">
        <v>5.7</v>
      </c>
      <c r="D283" s="63">
        <f>+C282*C283</f>
        <v>35.34</v>
      </c>
      <c r="E283" s="77"/>
      <c r="F283" s="33"/>
      <c r="G283" s="42"/>
      <c r="H283" s="43"/>
      <c r="I283" s="43"/>
      <c r="J283" s="36"/>
      <c r="K283" s="37">
        <f t="shared" si="24"/>
      </c>
      <c r="L283" s="31"/>
      <c r="M283" s="72"/>
      <c r="N283" s="73"/>
      <c r="O283" s="74"/>
      <c r="P283" s="75">
        <f>+IF(M283="item",O283,IF(M283&lt;&gt;0,M283*O283,""))</f>
      </c>
      <c r="Q283" s="76"/>
      <c r="S283" s="110"/>
      <c r="T283" s="12"/>
      <c r="U283" s="12"/>
      <c r="V283" s="12"/>
      <c r="W283" s="19"/>
      <c r="X283" s="111"/>
    </row>
    <row r="284" spans="1:24" ht="12.75" hidden="1" outlineLevel="1">
      <c r="A284" s="60"/>
      <c r="B284" s="61">
        <v>2</v>
      </c>
      <c r="C284" s="62">
        <v>0.8</v>
      </c>
      <c r="D284" s="63"/>
      <c r="E284" s="77"/>
      <c r="F284" s="33"/>
      <c r="G284" s="42"/>
      <c r="H284" s="43"/>
      <c r="I284" s="43"/>
      <c r="J284" s="36"/>
      <c r="K284" s="37"/>
      <c r="L284" s="31"/>
      <c r="M284" s="72"/>
      <c r="N284" s="73"/>
      <c r="O284" s="74"/>
      <c r="P284" s="75"/>
      <c r="Q284" s="76"/>
      <c r="S284" s="110"/>
      <c r="T284" s="12"/>
      <c r="U284" s="12"/>
      <c r="V284" s="12"/>
      <c r="W284" s="19"/>
      <c r="X284" s="111"/>
    </row>
    <row r="285" spans="1:24" ht="12.75" hidden="1" outlineLevel="1">
      <c r="A285" s="60"/>
      <c r="B285" s="61"/>
      <c r="C285" s="135">
        <v>5.7</v>
      </c>
      <c r="D285" s="63">
        <f>+C284*C285*B284</f>
        <v>9.120000000000001</v>
      </c>
      <c r="E285" s="77"/>
      <c r="F285" s="33"/>
      <c r="G285" s="42"/>
      <c r="H285" s="43"/>
      <c r="I285" s="43"/>
      <c r="J285" s="36"/>
      <c r="K285" s="37"/>
      <c r="L285" s="31"/>
      <c r="M285" s="72"/>
      <c r="N285" s="73"/>
      <c r="O285" s="74"/>
      <c r="P285" s="75"/>
      <c r="Q285" s="76"/>
      <c r="S285" s="110"/>
      <c r="T285" s="12"/>
      <c r="U285" s="12"/>
      <c r="V285" s="12"/>
      <c r="W285" s="19"/>
      <c r="X285" s="111"/>
    </row>
    <row r="286" spans="1:24" ht="12.75" hidden="1" outlineLevel="1">
      <c r="A286" s="60"/>
      <c r="B286" s="61"/>
      <c r="C286" s="62">
        <v>8.7</v>
      </c>
      <c r="D286" s="63"/>
      <c r="E286" s="77"/>
      <c r="F286" s="33"/>
      <c r="G286" s="42"/>
      <c r="H286" s="43"/>
      <c r="I286" s="43"/>
      <c r="J286" s="36"/>
      <c r="K286" s="37"/>
      <c r="L286" s="31"/>
      <c r="M286" s="72"/>
      <c r="N286" s="73"/>
      <c r="O286" s="74"/>
      <c r="P286" s="75"/>
      <c r="Q286" s="76"/>
      <c r="S286" s="110"/>
      <c r="T286" s="12"/>
      <c r="U286" s="12"/>
      <c r="V286" s="12"/>
      <c r="W286" s="19"/>
      <c r="X286" s="111"/>
    </row>
    <row r="287" spans="1:24" ht="12.75" hidden="1" outlineLevel="1">
      <c r="A287" s="60"/>
      <c r="B287" s="61"/>
      <c r="C287" s="135">
        <v>5.7</v>
      </c>
      <c r="D287" s="63">
        <f>+C286*C287</f>
        <v>49.589999999999996</v>
      </c>
      <c r="E287" s="77"/>
      <c r="F287" s="33"/>
      <c r="G287" s="42"/>
      <c r="H287" s="43"/>
      <c r="I287" s="43"/>
      <c r="J287" s="36"/>
      <c r="K287" s="37"/>
      <c r="L287" s="31"/>
      <c r="M287" s="72"/>
      <c r="N287" s="73"/>
      <c r="O287" s="74"/>
      <c r="P287" s="75"/>
      <c r="Q287" s="76"/>
      <c r="S287" s="110"/>
      <c r="T287" s="12"/>
      <c r="U287" s="12"/>
      <c r="V287" s="12"/>
      <c r="W287" s="19"/>
      <c r="X287" s="111"/>
    </row>
    <row r="288" spans="1:24" ht="12.75" hidden="1" outlineLevel="1">
      <c r="A288" s="60"/>
      <c r="B288" s="61">
        <v>-2</v>
      </c>
      <c r="C288" s="62">
        <v>3</v>
      </c>
      <c r="D288" s="63"/>
      <c r="E288" s="77"/>
      <c r="F288" s="33"/>
      <c r="G288" s="42"/>
      <c r="H288" s="43"/>
      <c r="I288" s="43"/>
      <c r="J288" s="36"/>
      <c r="K288" s="37">
        <f t="shared" si="24"/>
      </c>
      <c r="L288" s="31"/>
      <c r="M288" s="72"/>
      <c r="N288" s="73"/>
      <c r="O288" s="74"/>
      <c r="P288" s="75"/>
      <c r="Q288" s="76"/>
      <c r="S288" s="110"/>
      <c r="T288" s="12"/>
      <c r="U288" s="12"/>
      <c r="V288" s="12"/>
      <c r="W288" s="19"/>
      <c r="X288" s="111"/>
    </row>
    <row r="289" spans="1:24" ht="12.75" hidden="1" outlineLevel="1">
      <c r="A289" s="60"/>
      <c r="B289" s="61"/>
      <c r="C289" s="135">
        <v>1.7</v>
      </c>
      <c r="D289" s="63">
        <f>+C289*C288*B288</f>
        <v>-10.2</v>
      </c>
      <c r="E289" s="77"/>
      <c r="F289" s="33"/>
      <c r="G289" s="42"/>
      <c r="H289" s="43"/>
      <c r="I289" s="43"/>
      <c r="J289" s="36"/>
      <c r="K289" s="37">
        <f t="shared" si="24"/>
      </c>
      <c r="L289" s="31"/>
      <c r="M289" s="72"/>
      <c r="N289" s="73"/>
      <c r="O289" s="74"/>
      <c r="P289" s="75"/>
      <c r="Q289" s="76"/>
      <c r="S289" s="110"/>
      <c r="T289" s="12"/>
      <c r="U289" s="12"/>
      <c r="V289" s="12"/>
      <c r="W289" s="19"/>
      <c r="X289" s="111"/>
    </row>
    <row r="290" spans="1:24" ht="12.75" hidden="1" outlineLevel="1">
      <c r="A290" s="60"/>
      <c r="B290" s="61">
        <v>-1</v>
      </c>
      <c r="C290" s="62">
        <v>0.9</v>
      </c>
      <c r="D290" s="63"/>
      <c r="E290" s="77"/>
      <c r="F290" s="33"/>
      <c r="G290" s="42"/>
      <c r="H290" s="43"/>
      <c r="I290" s="43"/>
      <c r="J290" s="36"/>
      <c r="K290" s="37">
        <f t="shared" si="24"/>
      </c>
      <c r="L290" s="31"/>
      <c r="M290" s="72"/>
      <c r="N290" s="73"/>
      <c r="O290" s="74"/>
      <c r="P290" s="75">
        <f>+IF(M290="item",O290,IF(M290&lt;&gt;0,M290*O290,""))</f>
      </c>
      <c r="Q290" s="76"/>
      <c r="S290" s="110"/>
      <c r="T290" s="12"/>
      <c r="U290" s="12"/>
      <c r="V290" s="12"/>
      <c r="W290" s="19"/>
      <c r="X290" s="111"/>
    </row>
    <row r="291" spans="1:24" ht="12.75" hidden="1" outlineLevel="1">
      <c r="A291" s="60"/>
      <c r="B291" s="61"/>
      <c r="C291" s="135">
        <v>1.3</v>
      </c>
      <c r="D291" s="63">
        <f>+C291*C290*B290</f>
        <v>-1.1700000000000002</v>
      </c>
      <c r="E291" s="77"/>
      <c r="F291" s="33"/>
      <c r="G291" s="42"/>
      <c r="H291" s="43"/>
      <c r="I291" s="43"/>
      <c r="J291" s="36"/>
      <c r="K291" s="37">
        <f t="shared" si="24"/>
      </c>
      <c r="L291" s="31"/>
      <c r="M291" s="72"/>
      <c r="N291" s="73"/>
      <c r="O291" s="74"/>
      <c r="P291" s="75">
        <f>+IF(M291="item",O291,IF(M291&lt;&gt;0,M291*O291,""))</f>
      </c>
      <c r="Q291" s="76"/>
      <c r="S291" s="110"/>
      <c r="T291" s="12"/>
      <c r="U291" s="12"/>
      <c r="V291" s="12"/>
      <c r="W291" s="19"/>
      <c r="X291" s="111"/>
    </row>
    <row r="292" spans="1:24" ht="12.75" hidden="1" outlineLevel="1">
      <c r="A292" s="60"/>
      <c r="B292" s="61">
        <v>-1</v>
      </c>
      <c r="C292" s="62">
        <v>2.3</v>
      </c>
      <c r="D292" s="63"/>
      <c r="E292" s="77"/>
      <c r="F292" s="33"/>
      <c r="G292" s="42"/>
      <c r="H292" s="43"/>
      <c r="I292" s="43"/>
      <c r="J292" s="36"/>
      <c r="K292" s="37">
        <f t="shared" si="24"/>
      </c>
      <c r="L292" s="31"/>
      <c r="M292" s="72"/>
      <c r="N292" s="73"/>
      <c r="O292" s="74"/>
      <c r="P292" s="75">
        <f>+IF(M292="item",O292,IF(M292&lt;&gt;0,M292*O292,""))</f>
      </c>
      <c r="Q292" s="76"/>
      <c r="S292" s="110"/>
      <c r="T292" s="12"/>
      <c r="U292" s="12"/>
      <c r="V292" s="12"/>
      <c r="W292" s="19"/>
      <c r="X292" s="111"/>
    </row>
    <row r="293" spans="1:24" ht="12.75" hidden="1" outlineLevel="1">
      <c r="A293" s="60"/>
      <c r="B293" s="61"/>
      <c r="C293" s="135">
        <v>1.1</v>
      </c>
      <c r="D293" s="63">
        <f>+C293*C292*B292</f>
        <v>-2.53</v>
      </c>
      <c r="E293" s="77"/>
      <c r="F293" s="33"/>
      <c r="G293" s="42"/>
      <c r="H293" s="43"/>
      <c r="I293" s="43"/>
      <c r="J293" s="36"/>
      <c r="K293" s="37">
        <f t="shared" si="24"/>
      </c>
      <c r="L293" s="31"/>
      <c r="M293" s="72"/>
      <c r="N293" s="73"/>
      <c r="O293" s="74"/>
      <c r="P293" s="75"/>
      <c r="Q293" s="76"/>
      <c r="S293" s="110"/>
      <c r="T293" s="12"/>
      <c r="U293" s="12"/>
      <c r="V293" s="12"/>
      <c r="W293" s="19"/>
      <c r="X293" s="111"/>
    </row>
    <row r="294" spans="1:24" ht="12.75" hidden="1" outlineLevel="1">
      <c r="A294" s="60"/>
      <c r="B294" s="61">
        <v>-4</v>
      </c>
      <c r="C294" s="62">
        <v>0.6</v>
      </c>
      <c r="D294" s="63"/>
      <c r="E294" s="77"/>
      <c r="F294" s="33"/>
      <c r="G294" s="42"/>
      <c r="H294" s="43"/>
      <c r="I294" s="43"/>
      <c r="J294" s="36"/>
      <c r="K294" s="37">
        <f t="shared" si="24"/>
      </c>
      <c r="L294" s="31"/>
      <c r="M294" s="72"/>
      <c r="N294" s="73"/>
      <c r="O294" s="74"/>
      <c r="P294" s="75"/>
      <c r="Q294" s="76"/>
      <c r="S294" s="110"/>
      <c r="T294" s="12"/>
      <c r="U294" s="12"/>
      <c r="V294" s="12"/>
      <c r="W294" s="19"/>
      <c r="X294" s="111"/>
    </row>
    <row r="295" spans="1:24" ht="12.75" hidden="1" outlineLevel="1">
      <c r="A295" s="60"/>
      <c r="B295" s="61"/>
      <c r="C295" s="135">
        <v>1.7</v>
      </c>
      <c r="D295" s="63">
        <f>+C295*C294*B294</f>
        <v>-4.08</v>
      </c>
      <c r="E295" s="77"/>
      <c r="F295" s="33"/>
      <c r="G295" s="42"/>
      <c r="H295" s="43"/>
      <c r="I295" s="43"/>
      <c r="J295" s="36"/>
      <c r="K295" s="37">
        <f t="shared" si="24"/>
      </c>
      <c r="L295" s="31"/>
      <c r="M295" s="72"/>
      <c r="N295" s="73"/>
      <c r="O295" s="74"/>
      <c r="P295" s="75"/>
      <c r="Q295" s="76"/>
      <c r="S295" s="110"/>
      <c r="T295" s="12"/>
      <c r="U295" s="12"/>
      <c r="V295" s="12"/>
      <c r="W295" s="19"/>
      <c r="X295" s="111"/>
    </row>
    <row r="296" spans="1:24" ht="12.75" hidden="1" outlineLevel="1">
      <c r="A296" s="60"/>
      <c r="B296" s="61">
        <v>-1</v>
      </c>
      <c r="C296" s="62">
        <v>0.8</v>
      </c>
      <c r="D296" s="63"/>
      <c r="E296" s="77"/>
      <c r="F296" s="33"/>
      <c r="G296" s="42"/>
      <c r="H296" s="43"/>
      <c r="I296" s="43"/>
      <c r="J296" s="36"/>
      <c r="K296" s="37">
        <f t="shared" si="24"/>
      </c>
      <c r="L296" s="31"/>
      <c r="M296" s="72"/>
      <c r="N296" s="73"/>
      <c r="O296" s="74"/>
      <c r="P296" s="75"/>
      <c r="Q296" s="76"/>
      <c r="S296" s="110"/>
      <c r="T296" s="12"/>
      <c r="U296" s="12"/>
      <c r="V296" s="12"/>
      <c r="W296" s="19"/>
      <c r="X296" s="111"/>
    </row>
    <row r="297" spans="1:24" ht="12.75" hidden="1" outlineLevel="1">
      <c r="A297" s="60"/>
      <c r="B297" s="61"/>
      <c r="C297" s="135">
        <v>1.1</v>
      </c>
      <c r="D297" s="63">
        <f>+C297*C296*B296</f>
        <v>-0.8800000000000001</v>
      </c>
      <c r="E297" s="77"/>
      <c r="F297" s="33"/>
      <c r="G297" s="42"/>
      <c r="H297" s="43"/>
      <c r="I297" s="43"/>
      <c r="J297" s="36"/>
      <c r="K297" s="37">
        <f t="shared" si="24"/>
      </c>
      <c r="L297" s="31"/>
      <c r="M297" s="72"/>
      <c r="N297" s="73"/>
      <c r="O297" s="74"/>
      <c r="P297" s="75"/>
      <c r="Q297" s="76"/>
      <c r="S297" s="110"/>
      <c r="T297" s="12"/>
      <c r="U297" s="12"/>
      <c r="V297" s="12"/>
      <c r="W297" s="19"/>
      <c r="X297" s="111"/>
    </row>
    <row r="298" spans="1:24" ht="12.75" hidden="1" outlineLevel="1">
      <c r="A298" s="60"/>
      <c r="B298" s="61">
        <v>-1</v>
      </c>
      <c r="C298" s="62">
        <v>2.1</v>
      </c>
      <c r="D298" s="63"/>
      <c r="E298" s="77"/>
      <c r="F298" s="33"/>
      <c r="G298" s="42"/>
      <c r="H298" s="43"/>
      <c r="I298" s="43"/>
      <c r="J298" s="36"/>
      <c r="K298" s="37">
        <f t="shared" si="24"/>
      </c>
      <c r="L298" s="31"/>
      <c r="M298" s="72"/>
      <c r="N298" s="73"/>
      <c r="O298" s="74"/>
      <c r="P298" s="75"/>
      <c r="Q298" s="76"/>
      <c r="S298" s="110"/>
      <c r="T298" s="12"/>
      <c r="U298" s="12"/>
      <c r="V298" s="12"/>
      <c r="W298" s="19"/>
      <c r="X298" s="111"/>
    </row>
    <row r="299" spans="1:24" ht="12.75" hidden="1" outlineLevel="1">
      <c r="A299" s="60"/>
      <c r="B299" s="61"/>
      <c r="C299" s="135">
        <v>1.7</v>
      </c>
      <c r="D299" s="63">
        <f>+C299*C298*B298</f>
        <v>-3.57</v>
      </c>
      <c r="E299" s="77"/>
      <c r="F299" s="33"/>
      <c r="G299" s="42"/>
      <c r="H299" s="43"/>
      <c r="I299" s="43"/>
      <c r="J299" s="36"/>
      <c r="K299" s="37">
        <f t="shared" si="24"/>
      </c>
      <c r="L299" s="31"/>
      <c r="M299" s="72"/>
      <c r="N299" s="73"/>
      <c r="O299" s="74"/>
      <c r="P299" s="75"/>
      <c r="Q299" s="76"/>
      <c r="S299" s="110"/>
      <c r="T299" s="12"/>
      <c r="U299" s="12"/>
      <c r="V299" s="12"/>
      <c r="W299" s="19"/>
      <c r="X299" s="111"/>
    </row>
    <row r="300" spans="1:24" ht="12.75" hidden="1" outlineLevel="1">
      <c r="A300" s="60"/>
      <c r="B300" s="61">
        <v>-1</v>
      </c>
      <c r="C300" s="62">
        <v>2.2</v>
      </c>
      <c r="D300" s="63"/>
      <c r="E300" s="77"/>
      <c r="F300" s="33"/>
      <c r="G300" s="42"/>
      <c r="H300" s="43"/>
      <c r="I300" s="43"/>
      <c r="J300" s="36"/>
      <c r="K300" s="37">
        <f t="shared" si="24"/>
      </c>
      <c r="L300" s="31"/>
      <c r="M300" s="72"/>
      <c r="N300" s="73"/>
      <c r="O300" s="74"/>
      <c r="P300" s="75"/>
      <c r="Q300" s="76"/>
      <c r="S300" s="110"/>
      <c r="T300" s="12"/>
      <c r="U300" s="12"/>
      <c r="V300" s="12"/>
      <c r="W300" s="19"/>
      <c r="X300" s="111"/>
    </row>
    <row r="301" spans="1:24" ht="12.75" hidden="1" outlineLevel="1">
      <c r="A301" s="60"/>
      <c r="B301" s="61"/>
      <c r="C301" s="135">
        <v>1.7</v>
      </c>
      <c r="D301" s="63">
        <f>+C301*C300*B300</f>
        <v>-3.74</v>
      </c>
      <c r="E301" s="77"/>
      <c r="F301" s="33"/>
      <c r="G301" s="42"/>
      <c r="H301" s="43"/>
      <c r="I301" s="43"/>
      <c r="J301" s="36"/>
      <c r="K301" s="37">
        <f t="shared" si="24"/>
      </c>
      <c r="L301" s="31"/>
      <c r="M301" s="72"/>
      <c r="N301" s="73"/>
      <c r="O301" s="74"/>
      <c r="P301" s="75"/>
      <c r="Q301" s="76"/>
      <c r="S301" s="110"/>
      <c r="T301" s="12"/>
      <c r="U301" s="12"/>
      <c r="V301" s="12"/>
      <c r="W301" s="19"/>
      <c r="X301" s="111"/>
    </row>
    <row r="302" spans="1:24" ht="12.75" hidden="1" outlineLevel="1">
      <c r="A302" s="60"/>
      <c r="B302" s="61">
        <v>-1</v>
      </c>
      <c r="C302" s="62">
        <v>1.3</v>
      </c>
      <c r="D302" s="63"/>
      <c r="E302" s="77"/>
      <c r="F302" s="33"/>
      <c r="G302" s="42"/>
      <c r="H302" s="43"/>
      <c r="I302" s="43"/>
      <c r="J302" s="36"/>
      <c r="K302" s="37">
        <f t="shared" si="24"/>
      </c>
      <c r="L302" s="31"/>
      <c r="M302" s="72"/>
      <c r="N302" s="73"/>
      <c r="O302" s="74"/>
      <c r="P302" s="75"/>
      <c r="Q302" s="76"/>
      <c r="S302" s="110"/>
      <c r="T302" s="12"/>
      <c r="U302" s="12"/>
      <c r="V302" s="12"/>
      <c r="W302" s="19"/>
      <c r="X302" s="111"/>
    </row>
    <row r="303" spans="1:24" ht="12.75" hidden="1" outlineLevel="1">
      <c r="A303" s="60"/>
      <c r="B303" s="61"/>
      <c r="C303" s="135">
        <v>1</v>
      </c>
      <c r="D303" s="63">
        <f>+C303*C302*B302</f>
        <v>-1.3</v>
      </c>
      <c r="E303" s="77"/>
      <c r="F303" s="33"/>
      <c r="G303" s="42"/>
      <c r="H303" s="43"/>
      <c r="I303" s="43"/>
      <c r="J303" s="36"/>
      <c r="K303" s="37">
        <f t="shared" si="24"/>
      </c>
      <c r="L303" s="31"/>
      <c r="M303" s="72"/>
      <c r="N303" s="73"/>
      <c r="O303" s="74"/>
      <c r="P303" s="75"/>
      <c r="Q303" s="76"/>
      <c r="S303" s="110"/>
      <c r="T303" s="12"/>
      <c r="U303" s="12"/>
      <c r="V303" s="12"/>
      <c r="W303" s="19"/>
      <c r="X303" s="111"/>
    </row>
    <row r="304" spans="1:24" ht="12.75" hidden="1" outlineLevel="1">
      <c r="A304" s="60"/>
      <c r="B304" s="61"/>
      <c r="C304" s="62"/>
      <c r="D304" s="63"/>
      <c r="E304" s="77"/>
      <c r="F304" s="33"/>
      <c r="G304" s="42"/>
      <c r="H304" s="43"/>
      <c r="I304" s="43"/>
      <c r="J304" s="36"/>
      <c r="K304" s="37">
        <f t="shared" si="24"/>
      </c>
      <c r="L304" s="31"/>
      <c r="M304" s="72"/>
      <c r="N304" s="73"/>
      <c r="O304" s="74"/>
      <c r="P304" s="75"/>
      <c r="Q304" s="76"/>
      <c r="S304" s="110"/>
      <c r="T304" s="12"/>
      <c r="U304" s="12"/>
      <c r="V304" s="12"/>
      <c r="W304" s="19"/>
      <c r="X304" s="111"/>
    </row>
    <row r="305" spans="1:24" ht="12.75" hidden="1" outlineLevel="1">
      <c r="A305" s="60"/>
      <c r="B305" s="61"/>
      <c r="C305" s="62"/>
      <c r="D305" s="65">
        <f>SUM(D282:D304)</f>
        <v>66.58000000000003</v>
      </c>
      <c r="E305" s="77"/>
      <c r="F305" s="33"/>
      <c r="G305" s="42"/>
      <c r="H305" s="43"/>
      <c r="I305" s="43"/>
      <c r="J305" s="36"/>
      <c r="K305" s="37">
        <f t="shared" si="24"/>
      </c>
      <c r="L305" s="31"/>
      <c r="M305" s="72"/>
      <c r="N305" s="73"/>
      <c r="O305" s="74"/>
      <c r="P305" s="75"/>
      <c r="Q305" s="76"/>
      <c r="S305" s="110"/>
      <c r="T305" s="12"/>
      <c r="U305" s="12"/>
      <c r="V305" s="12"/>
      <c r="W305" s="19"/>
      <c r="X305" s="111"/>
    </row>
    <row r="306" spans="1:24" ht="12.75" hidden="1" outlineLevel="1">
      <c r="A306" s="60"/>
      <c r="B306" s="61"/>
      <c r="C306" s="62"/>
      <c r="D306" s="65"/>
      <c r="E306" s="77"/>
      <c r="F306" s="33"/>
      <c r="G306" s="42"/>
      <c r="H306" s="43"/>
      <c r="I306" s="43"/>
      <c r="J306" s="36"/>
      <c r="K306" s="37">
        <f t="shared" si="24"/>
      </c>
      <c r="L306" s="31"/>
      <c r="M306" s="72"/>
      <c r="N306" s="73"/>
      <c r="O306" s="74"/>
      <c r="P306" s="75"/>
      <c r="Q306" s="76"/>
      <c r="S306" s="110"/>
      <c r="T306" s="12"/>
      <c r="U306" s="12"/>
      <c r="V306" s="12"/>
      <c r="W306" s="19"/>
      <c r="X306" s="111"/>
    </row>
    <row r="307" spans="1:24" ht="25.5" hidden="1" outlineLevel="1">
      <c r="A307" s="60"/>
      <c r="B307" s="61"/>
      <c r="C307" s="62"/>
      <c r="D307" s="65"/>
      <c r="E307" s="44" t="s">
        <v>328</v>
      </c>
      <c r="F307" s="33">
        <v>42</v>
      </c>
      <c r="G307" s="42" t="s">
        <v>108</v>
      </c>
      <c r="H307" s="43">
        <v>0.1</v>
      </c>
      <c r="I307" s="43"/>
      <c r="J307" s="36">
        <f>IF(+I307+H307&gt;0,I307+(H307*labour),"")</f>
        <v>3</v>
      </c>
      <c r="K307" s="37">
        <f t="shared" si="24"/>
        <v>126</v>
      </c>
      <c r="L307" s="31"/>
      <c r="M307" s="72"/>
      <c r="N307" s="73"/>
      <c r="O307" s="74"/>
      <c r="P307" s="75"/>
      <c r="Q307" s="76"/>
      <c r="S307" s="110"/>
      <c r="T307" s="12"/>
      <c r="U307" s="12"/>
      <c r="V307" s="12"/>
      <c r="W307" s="19"/>
      <c r="X307" s="111"/>
    </row>
    <row r="308" spans="1:24" ht="12.75" hidden="1" outlineLevel="1">
      <c r="A308" s="60"/>
      <c r="B308" s="61"/>
      <c r="C308" s="62"/>
      <c r="D308" s="65"/>
      <c r="E308" s="77"/>
      <c r="F308" s="33"/>
      <c r="G308" s="42"/>
      <c r="H308" s="43"/>
      <c r="I308" s="43"/>
      <c r="J308" s="36"/>
      <c r="K308" s="37">
        <f t="shared" si="24"/>
      </c>
      <c r="L308" s="31"/>
      <c r="M308" s="72"/>
      <c r="N308" s="73"/>
      <c r="O308" s="74"/>
      <c r="P308" s="75"/>
      <c r="Q308" s="76"/>
      <c r="S308" s="110"/>
      <c r="T308" s="12"/>
      <c r="U308" s="12"/>
      <c r="V308" s="12"/>
      <c r="W308" s="19"/>
      <c r="X308" s="111"/>
    </row>
    <row r="309" spans="1:24" ht="25.5" hidden="1" outlineLevel="1">
      <c r="A309" s="60"/>
      <c r="B309" s="61"/>
      <c r="C309" s="62"/>
      <c r="D309" s="65"/>
      <c r="E309" s="44" t="s">
        <v>327</v>
      </c>
      <c r="F309" s="33">
        <v>22</v>
      </c>
      <c r="G309" s="42" t="s">
        <v>108</v>
      </c>
      <c r="H309" s="43"/>
      <c r="I309" s="43"/>
      <c r="J309" s="36">
        <v>75</v>
      </c>
      <c r="K309" s="37">
        <f t="shared" si="24"/>
        <v>1650</v>
      </c>
      <c r="L309" s="31" t="s">
        <v>326</v>
      </c>
      <c r="M309" s="72"/>
      <c r="N309" s="73"/>
      <c r="O309" s="74"/>
      <c r="P309" s="75"/>
      <c r="Q309" s="76"/>
      <c r="S309" s="110"/>
      <c r="T309" s="12"/>
      <c r="U309" s="12"/>
      <c r="V309" s="12"/>
      <c r="W309" s="19"/>
      <c r="X309" s="111"/>
    </row>
    <row r="310" spans="1:24" ht="12.75" hidden="1" outlineLevel="1">
      <c r="A310" s="60"/>
      <c r="B310" s="61"/>
      <c r="C310" s="62"/>
      <c r="D310" s="65"/>
      <c r="E310" s="77"/>
      <c r="F310" s="33"/>
      <c r="G310" s="42"/>
      <c r="H310" s="43"/>
      <c r="I310" s="43"/>
      <c r="J310" s="36"/>
      <c r="K310" s="37">
        <f t="shared" si="24"/>
      </c>
      <c r="L310" s="31"/>
      <c r="M310" s="72"/>
      <c r="N310" s="73"/>
      <c r="O310" s="74"/>
      <c r="P310" s="75"/>
      <c r="Q310" s="76"/>
      <c r="S310" s="110"/>
      <c r="T310" s="12"/>
      <c r="U310" s="12"/>
      <c r="V310" s="12"/>
      <c r="W310" s="19"/>
      <c r="X310" s="111"/>
    </row>
    <row r="311" spans="1:24" ht="25.5" hidden="1" outlineLevel="1">
      <c r="A311" s="60"/>
      <c r="B311" s="61"/>
      <c r="C311" s="62"/>
      <c r="D311" s="65"/>
      <c r="E311" s="44" t="s">
        <v>329</v>
      </c>
      <c r="F311" s="33" t="s">
        <v>1</v>
      </c>
      <c r="G311" s="42"/>
      <c r="H311" s="43">
        <v>8</v>
      </c>
      <c r="I311" s="43">
        <v>150</v>
      </c>
      <c r="J311" s="36">
        <f>IF(+I311+H311&gt;0,I311+(H311*labour),"")</f>
        <v>390</v>
      </c>
      <c r="K311" s="37">
        <f t="shared" si="24"/>
        <v>390</v>
      </c>
      <c r="L311" s="31"/>
      <c r="M311" s="72"/>
      <c r="N311" s="73"/>
      <c r="O311" s="74"/>
      <c r="P311" s="75"/>
      <c r="Q311" s="76"/>
      <c r="S311" s="110"/>
      <c r="T311" s="12"/>
      <c r="U311" s="12"/>
      <c r="V311" s="12"/>
      <c r="W311" s="19"/>
      <c r="X311" s="111"/>
    </row>
    <row r="312" spans="1:24" ht="12.75" hidden="1" outlineLevel="1">
      <c r="A312" s="60"/>
      <c r="B312" s="61"/>
      <c r="C312" s="62"/>
      <c r="D312" s="65"/>
      <c r="E312" s="77"/>
      <c r="F312" s="33"/>
      <c r="G312" s="42"/>
      <c r="H312" s="43"/>
      <c r="I312" s="43"/>
      <c r="J312" s="36"/>
      <c r="K312" s="37">
        <f t="shared" si="24"/>
      </c>
      <c r="L312" s="31"/>
      <c r="M312" s="72"/>
      <c r="N312" s="73"/>
      <c r="O312" s="74"/>
      <c r="P312" s="75"/>
      <c r="Q312" s="76"/>
      <c r="S312" s="110"/>
      <c r="T312" s="12"/>
      <c r="U312" s="12"/>
      <c r="V312" s="12"/>
      <c r="W312" s="19"/>
      <c r="X312" s="111"/>
    </row>
    <row r="313" spans="1:24" ht="25.5" hidden="1" outlineLevel="1">
      <c r="A313" s="60"/>
      <c r="B313" s="61"/>
      <c r="C313" s="62"/>
      <c r="D313" s="65"/>
      <c r="E313" s="44" t="s">
        <v>331</v>
      </c>
      <c r="F313" s="33">
        <f>+ROUND(D317,0)</f>
        <v>22</v>
      </c>
      <c r="G313" s="42" t="s">
        <v>108</v>
      </c>
      <c r="H313" s="43"/>
      <c r="I313" s="43"/>
      <c r="J313" s="36">
        <v>25</v>
      </c>
      <c r="K313" s="37">
        <f t="shared" si="24"/>
        <v>550</v>
      </c>
      <c r="L313" s="31"/>
      <c r="M313" s="72"/>
      <c r="N313" s="73"/>
      <c r="O313" s="74"/>
      <c r="P313" s="75"/>
      <c r="Q313" s="76"/>
      <c r="S313" s="110"/>
      <c r="T313" s="12"/>
      <c r="U313" s="12"/>
      <c r="V313" s="12"/>
      <c r="W313" s="19"/>
      <c r="X313" s="111"/>
    </row>
    <row r="314" spans="1:24" ht="12.75" hidden="1" outlineLevel="1">
      <c r="A314" s="60"/>
      <c r="B314" s="61">
        <v>2</v>
      </c>
      <c r="C314" s="135">
        <v>6.7</v>
      </c>
      <c r="D314" s="63">
        <f>+C314*B314</f>
        <v>13.4</v>
      </c>
      <c r="E314" s="77"/>
      <c r="F314" s="33"/>
      <c r="G314" s="42"/>
      <c r="H314" s="43"/>
      <c r="I314" s="43"/>
      <c r="J314" s="36"/>
      <c r="K314" s="37">
        <f t="shared" si="24"/>
      </c>
      <c r="L314" s="31"/>
      <c r="M314" s="72"/>
      <c r="N314" s="73"/>
      <c r="O314" s="74"/>
      <c r="P314" s="75"/>
      <c r="Q314" s="76"/>
      <c r="S314" s="110"/>
      <c r="T314" s="12"/>
      <c r="U314" s="12"/>
      <c r="V314" s="12"/>
      <c r="W314" s="19"/>
      <c r="X314" s="111"/>
    </row>
    <row r="315" spans="1:24" ht="12.75" hidden="1" outlineLevel="1">
      <c r="A315" s="60"/>
      <c r="B315" s="61"/>
      <c r="C315" s="156">
        <v>9</v>
      </c>
      <c r="D315" s="63">
        <f>+C315</f>
        <v>9</v>
      </c>
      <c r="E315" s="77"/>
      <c r="F315" s="33"/>
      <c r="G315" s="42"/>
      <c r="H315" s="43"/>
      <c r="I315" s="43"/>
      <c r="J315" s="36"/>
      <c r="K315" s="37">
        <f t="shared" si="24"/>
      </c>
      <c r="L315" s="31"/>
      <c r="M315" s="33"/>
      <c r="N315" s="42"/>
      <c r="O315" s="36"/>
      <c r="P315" s="37"/>
      <c r="Q315" s="54"/>
      <c r="S315" s="110"/>
      <c r="T315" s="12"/>
      <c r="U315" s="12"/>
      <c r="V315" s="12"/>
      <c r="W315" s="19"/>
      <c r="X315" s="111"/>
    </row>
    <row r="316" spans="1:24" ht="12.75" hidden="1" outlineLevel="1">
      <c r="A316" s="60"/>
      <c r="B316" s="61"/>
      <c r="C316" s="62"/>
      <c r="D316" s="65"/>
      <c r="E316" s="77"/>
      <c r="F316" s="33"/>
      <c r="G316" s="42"/>
      <c r="H316" s="43"/>
      <c r="I316" s="43"/>
      <c r="J316" s="36"/>
      <c r="K316" s="37">
        <f t="shared" si="24"/>
      </c>
      <c r="L316" s="31"/>
      <c r="M316" s="33"/>
      <c r="N316" s="42"/>
      <c r="O316" s="36"/>
      <c r="P316" s="37"/>
      <c r="Q316" s="54"/>
      <c r="S316" s="110"/>
      <c r="T316" s="12"/>
      <c r="U316" s="12"/>
      <c r="V316" s="12"/>
      <c r="W316" s="19"/>
      <c r="X316" s="111"/>
    </row>
    <row r="317" spans="1:24" ht="12.75" hidden="1" outlineLevel="1">
      <c r="A317" s="60"/>
      <c r="B317" s="61"/>
      <c r="C317" s="62"/>
      <c r="D317" s="65">
        <f>SUM(D314:D316)</f>
        <v>22.4</v>
      </c>
      <c r="E317" s="77"/>
      <c r="F317" s="33"/>
      <c r="G317" s="42"/>
      <c r="H317" s="43"/>
      <c r="I317" s="43"/>
      <c r="J317" s="36"/>
      <c r="K317" s="37">
        <f t="shared" si="24"/>
      </c>
      <c r="L317" s="31"/>
      <c r="M317" s="33"/>
      <c r="N317" s="42"/>
      <c r="O317" s="36"/>
      <c r="P317" s="37"/>
      <c r="Q317" s="54"/>
      <c r="S317" s="110"/>
      <c r="T317" s="12"/>
      <c r="U317" s="12"/>
      <c r="V317" s="12"/>
      <c r="W317" s="19"/>
      <c r="X317" s="111"/>
    </row>
    <row r="318" spans="1:24" ht="12.75" hidden="1" outlineLevel="1">
      <c r="A318" s="60"/>
      <c r="B318" s="61"/>
      <c r="C318" s="62"/>
      <c r="D318" s="65"/>
      <c r="E318" s="77"/>
      <c r="F318" s="33"/>
      <c r="G318" s="42"/>
      <c r="H318" s="43"/>
      <c r="I318" s="43"/>
      <c r="J318" s="36"/>
      <c r="K318" s="37">
        <f t="shared" si="24"/>
      </c>
      <c r="L318" s="31"/>
      <c r="M318" s="33"/>
      <c r="N318" s="42"/>
      <c r="O318" s="36"/>
      <c r="P318" s="37"/>
      <c r="Q318" s="54"/>
      <c r="S318" s="110"/>
      <c r="T318" s="12"/>
      <c r="U318" s="12"/>
      <c r="V318" s="12"/>
      <c r="W318" s="19"/>
      <c r="X318" s="111"/>
    </row>
    <row r="319" spans="1:24" ht="12.75" hidden="1" outlineLevel="1">
      <c r="A319" s="60"/>
      <c r="B319" s="61"/>
      <c r="C319" s="62"/>
      <c r="D319" s="65"/>
      <c r="E319" s="44" t="s">
        <v>348</v>
      </c>
      <c r="F319" s="33" t="s">
        <v>1</v>
      </c>
      <c r="G319" s="42"/>
      <c r="H319" s="43"/>
      <c r="I319" s="43"/>
      <c r="J319" s="36">
        <v>500</v>
      </c>
      <c r="K319" s="37">
        <f t="shared" si="24"/>
        <v>500</v>
      </c>
      <c r="L319" s="31"/>
      <c r="M319" s="33"/>
      <c r="N319" s="42"/>
      <c r="O319" s="36"/>
      <c r="P319" s="37"/>
      <c r="Q319" s="54"/>
      <c r="S319" s="110"/>
      <c r="T319" s="12"/>
      <c r="U319" s="12"/>
      <c r="V319" s="12"/>
      <c r="W319" s="19"/>
      <c r="X319" s="111"/>
    </row>
    <row r="320" spans="1:24" ht="12.75" hidden="1" outlineLevel="1">
      <c r="A320" s="60"/>
      <c r="B320" s="61"/>
      <c r="C320" s="62"/>
      <c r="D320" s="65"/>
      <c r="E320" s="77"/>
      <c r="F320" s="33"/>
      <c r="G320" s="42"/>
      <c r="H320" s="43"/>
      <c r="I320" s="43"/>
      <c r="J320" s="36"/>
      <c r="K320" s="37"/>
      <c r="L320" s="31"/>
      <c r="M320" s="33"/>
      <c r="N320" s="42"/>
      <c r="O320" s="36"/>
      <c r="P320" s="37"/>
      <c r="Q320" s="54"/>
      <c r="S320" s="110"/>
      <c r="T320" s="12"/>
      <c r="U320" s="12"/>
      <c r="V320" s="12"/>
      <c r="W320" s="19"/>
      <c r="X320" s="111"/>
    </row>
    <row r="321" spans="1:24" ht="12.75" hidden="1" outlineLevel="1">
      <c r="A321" s="60"/>
      <c r="B321" s="61"/>
      <c r="C321" s="62"/>
      <c r="D321" s="65"/>
      <c r="E321" s="44" t="s">
        <v>332</v>
      </c>
      <c r="F321" s="33">
        <f>ROUND(SUM(D282:D288),0)</f>
        <v>94</v>
      </c>
      <c r="G321" s="42" t="s">
        <v>35</v>
      </c>
      <c r="H321" s="43"/>
      <c r="I321" s="43"/>
      <c r="J321" s="36">
        <v>15</v>
      </c>
      <c r="K321" s="37">
        <f t="shared" si="24"/>
        <v>1410</v>
      </c>
      <c r="L321" s="31"/>
      <c r="M321" s="33"/>
      <c r="N321" s="42"/>
      <c r="O321" s="36"/>
      <c r="P321" s="37"/>
      <c r="Q321" s="54"/>
      <c r="S321" s="110"/>
      <c r="T321" s="12"/>
      <c r="U321" s="12"/>
      <c r="V321" s="12"/>
      <c r="W321" s="19"/>
      <c r="X321" s="111"/>
    </row>
    <row r="322" spans="1:24" ht="12.75" hidden="1" outlineLevel="1">
      <c r="A322" s="60"/>
      <c r="B322" s="61"/>
      <c r="C322" s="62"/>
      <c r="D322" s="65"/>
      <c r="E322" s="44"/>
      <c r="F322" s="33"/>
      <c r="G322" s="42"/>
      <c r="H322" s="43"/>
      <c r="I322" s="43"/>
      <c r="J322" s="36"/>
      <c r="K322" s="37"/>
      <c r="L322" s="31"/>
      <c r="M322" s="33"/>
      <c r="N322" s="42"/>
      <c r="O322" s="36"/>
      <c r="P322" s="37"/>
      <c r="Q322" s="54"/>
      <c r="S322" s="110"/>
      <c r="T322" s="12"/>
      <c r="U322" s="12"/>
      <c r="V322" s="12"/>
      <c r="W322" s="19"/>
      <c r="X322" s="111"/>
    </row>
    <row r="323" spans="1:24" ht="12.75" hidden="1" outlineLevel="1">
      <c r="A323" s="60"/>
      <c r="B323" s="61"/>
      <c r="C323" s="62"/>
      <c r="D323" s="65"/>
      <c r="E323" s="38" t="s">
        <v>362</v>
      </c>
      <c r="F323" s="33">
        <v>10</v>
      </c>
      <c r="G323" s="34" t="s">
        <v>363</v>
      </c>
      <c r="H323" s="39"/>
      <c r="I323" s="164"/>
      <c r="J323" s="39">
        <f>SUM(K281:K322)</f>
        <v>14676</v>
      </c>
      <c r="K323" s="37">
        <f>+J323*F323%</f>
        <v>1467.6000000000001</v>
      </c>
      <c r="L323" s="31"/>
      <c r="M323" s="33"/>
      <c r="N323" s="42"/>
      <c r="O323" s="36"/>
      <c r="P323" s="37"/>
      <c r="Q323" s="54"/>
      <c r="S323" s="110"/>
      <c r="T323" s="12"/>
      <c r="U323" s="12"/>
      <c r="V323" s="12"/>
      <c r="W323" s="19"/>
      <c r="X323" s="111"/>
    </row>
    <row r="324" spans="1:24" ht="12.75" hidden="1" outlineLevel="1">
      <c r="A324" s="60"/>
      <c r="B324" s="61"/>
      <c r="C324" s="62"/>
      <c r="D324" s="65"/>
      <c r="E324" s="77"/>
      <c r="F324" s="33"/>
      <c r="G324" s="42"/>
      <c r="H324" s="43"/>
      <c r="I324" s="43"/>
      <c r="J324" s="36"/>
      <c r="K324" s="37">
        <f t="shared" si="24"/>
      </c>
      <c r="L324" s="31"/>
      <c r="M324" s="33"/>
      <c r="N324" s="42"/>
      <c r="O324" s="36"/>
      <c r="P324" s="37"/>
      <c r="Q324" s="54"/>
      <c r="S324" s="110"/>
      <c r="T324" s="12"/>
      <c r="U324" s="12"/>
      <c r="V324" s="12"/>
      <c r="W324" s="19"/>
      <c r="X324" s="111"/>
    </row>
    <row r="325" spans="1:24" ht="12.75" hidden="1" outlineLevel="1">
      <c r="A325" s="60"/>
      <c r="B325" s="61"/>
      <c r="C325" s="62"/>
      <c r="D325" s="65"/>
      <c r="E325" s="77"/>
      <c r="F325" s="33"/>
      <c r="G325" s="42"/>
      <c r="H325" s="43"/>
      <c r="I325" s="43"/>
      <c r="J325" s="36"/>
      <c r="K325" s="37">
        <f t="shared" si="24"/>
      </c>
      <c r="L325" s="31"/>
      <c r="M325" s="33"/>
      <c r="N325" s="42"/>
      <c r="O325" s="36"/>
      <c r="P325" s="37"/>
      <c r="Q325" s="54"/>
      <c r="S325" s="110"/>
      <c r="T325" s="12"/>
      <c r="U325" s="12"/>
      <c r="V325" s="12"/>
      <c r="W325" s="19"/>
      <c r="X325" s="111"/>
    </row>
    <row r="326" spans="1:24" ht="12.75" collapsed="1">
      <c r="A326" s="60"/>
      <c r="B326" s="61"/>
      <c r="C326" s="62"/>
      <c r="D326" s="65"/>
      <c r="E326" s="77"/>
      <c r="F326" s="33"/>
      <c r="G326" s="42"/>
      <c r="H326" s="43"/>
      <c r="I326" s="43"/>
      <c r="J326" s="36"/>
      <c r="K326" s="37">
        <f t="shared" si="24"/>
      </c>
      <c r="L326" s="31"/>
      <c r="M326" s="72"/>
      <c r="N326" s="73"/>
      <c r="O326" s="74"/>
      <c r="P326" s="75">
        <f>+IF(M326="item",O326,IF(M326&lt;&gt;0,M326*O326,""))</f>
      </c>
      <c r="Q326" s="76"/>
      <c r="S326" s="110"/>
      <c r="T326" s="12"/>
      <c r="U326" s="12"/>
      <c r="V326" s="12"/>
      <c r="W326" s="19"/>
      <c r="X326" s="111"/>
    </row>
    <row r="327" spans="1:24" ht="12.75">
      <c r="A327" s="60"/>
      <c r="B327" s="61"/>
      <c r="C327" s="62"/>
      <c r="D327" s="65"/>
      <c r="E327" s="77"/>
      <c r="F327" s="33"/>
      <c r="G327" s="42"/>
      <c r="H327" s="43"/>
      <c r="I327" s="43"/>
      <c r="J327" s="36"/>
      <c r="K327" s="37">
        <f>+IF(F327="item",J327,IF(F327&lt;&gt;0,F327*J327,""))</f>
      </c>
      <c r="L327" s="31"/>
      <c r="M327" s="33"/>
      <c r="N327" s="42"/>
      <c r="O327" s="36"/>
      <c r="P327" s="37"/>
      <c r="Q327" s="54"/>
      <c r="S327" s="110"/>
      <c r="T327" s="12"/>
      <c r="U327" s="12"/>
      <c r="V327" s="12"/>
      <c r="W327" s="19"/>
      <c r="X327" s="111"/>
    </row>
    <row r="328" spans="1:24" ht="76.5">
      <c r="A328" s="60"/>
      <c r="B328" s="61"/>
      <c r="C328" s="62"/>
      <c r="D328" s="65"/>
      <c r="E328" s="77" t="s">
        <v>143</v>
      </c>
      <c r="F328" s="33"/>
      <c r="G328" s="42"/>
      <c r="H328" s="43"/>
      <c r="I328" s="43"/>
      <c r="J328" s="36"/>
      <c r="K328" s="53">
        <f>SUM(K330:K395)</f>
        <v>4861.27125</v>
      </c>
      <c r="L328" s="31" t="s">
        <v>359</v>
      </c>
      <c r="M328" s="72"/>
      <c r="N328" s="73"/>
      <c r="O328" s="74"/>
      <c r="P328" s="75">
        <f>+IF(M328="item",O328,IF(M328&lt;&gt;0,M328*O328,""))</f>
      </c>
      <c r="Q328" s="76"/>
      <c r="S328" s="110"/>
      <c r="T328" s="12"/>
      <c r="U328" s="12"/>
      <c r="V328" s="12"/>
      <c r="W328" s="19"/>
      <c r="X328" s="116" t="s">
        <v>265</v>
      </c>
    </row>
    <row r="329" spans="1:24" ht="12.75">
      <c r="A329" s="60"/>
      <c r="B329" s="61"/>
      <c r="C329" s="62"/>
      <c r="D329" s="65"/>
      <c r="E329" s="44"/>
      <c r="F329" s="33"/>
      <c r="G329" s="42"/>
      <c r="H329" s="43"/>
      <c r="I329" s="43"/>
      <c r="J329" s="36">
        <f>IF(+I329+H329&gt;0,I329+(H329*labour),"")</f>
      </c>
      <c r="K329" s="37">
        <f aca="true" t="shared" si="25" ref="K329:K394">+IF(F329="item",J329,IF(F329&lt;&gt;0,F329*J329,""))</f>
      </c>
      <c r="L329" s="31"/>
      <c r="M329" s="72"/>
      <c r="N329" s="73"/>
      <c r="O329" s="74"/>
      <c r="P329" s="75">
        <f>+IF(M329="item",O329,IF(M329&lt;&gt;0,M329*O329,""))</f>
      </c>
      <c r="Q329" s="76"/>
      <c r="S329" s="110"/>
      <c r="T329" s="12"/>
      <c r="U329" s="12"/>
      <c r="V329" s="12"/>
      <c r="W329" s="19"/>
      <c r="X329" s="111"/>
    </row>
    <row r="330" spans="1:24" ht="12.75" hidden="1" outlineLevel="1">
      <c r="A330" s="60"/>
      <c r="B330" s="61"/>
      <c r="C330" s="62"/>
      <c r="D330" s="65"/>
      <c r="E330" s="44" t="s">
        <v>229</v>
      </c>
      <c r="F330" s="33">
        <f>+ROUND(D352,0)</f>
        <v>42</v>
      </c>
      <c r="G330" s="42" t="s">
        <v>35</v>
      </c>
      <c r="H330" s="43">
        <v>0.25</v>
      </c>
      <c r="I330" s="43">
        <f>+celotex</f>
        <v>8.05</v>
      </c>
      <c r="J330" s="36">
        <f>IF(+I330+H330&gt;0,I330+(H330*labour),"")</f>
        <v>15.55</v>
      </c>
      <c r="K330" s="37">
        <f t="shared" si="25"/>
        <v>653.1</v>
      </c>
      <c r="L330" s="31"/>
      <c r="M330" s="72"/>
      <c r="N330" s="73"/>
      <c r="O330" s="74"/>
      <c r="P330" s="75">
        <f>+IF(M330="item",O330,IF(M330&lt;&gt;0,M330*O330,""))</f>
      </c>
      <c r="Q330" s="76"/>
      <c r="S330" s="110"/>
      <c r="T330" s="12"/>
      <c r="U330" s="12"/>
      <c r="V330" s="12"/>
      <c r="W330" s="19"/>
      <c r="X330" s="111"/>
    </row>
    <row r="331" spans="1:24" ht="12.75" hidden="1" outlineLevel="1">
      <c r="A331" s="60">
        <v>2</v>
      </c>
      <c r="B331" s="61">
        <v>2</v>
      </c>
      <c r="C331" s="62">
        <v>5.8</v>
      </c>
      <c r="D331" s="65"/>
      <c r="E331" s="44"/>
      <c r="F331" s="33"/>
      <c r="G331" s="42"/>
      <c r="H331" s="43"/>
      <c r="I331" s="43"/>
      <c r="J331" s="36"/>
      <c r="K331" s="37">
        <f t="shared" si="25"/>
      </c>
      <c r="L331" s="31"/>
      <c r="M331" s="72"/>
      <c r="N331" s="73"/>
      <c r="O331" s="74"/>
      <c r="P331" s="75"/>
      <c r="Q331" s="76"/>
      <c r="S331" s="110"/>
      <c r="T331" s="12"/>
      <c r="U331" s="12"/>
      <c r="V331" s="12"/>
      <c r="W331" s="19"/>
      <c r="X331" s="111"/>
    </row>
    <row r="332" spans="1:24" ht="12.75" hidden="1" outlineLevel="1">
      <c r="A332" s="60"/>
      <c r="B332" s="61"/>
      <c r="C332" s="135">
        <v>2.4</v>
      </c>
      <c r="D332" s="63">
        <f>+C332*C331*B331+A331</f>
        <v>29.84</v>
      </c>
      <c r="E332" s="44"/>
      <c r="F332" s="33"/>
      <c r="G332" s="42"/>
      <c r="H332" s="43"/>
      <c r="I332" s="43"/>
      <c r="J332" s="36"/>
      <c r="K332" s="37">
        <f t="shared" si="25"/>
      </c>
      <c r="L332" s="31"/>
      <c r="M332" s="72"/>
      <c r="N332" s="73"/>
      <c r="O332" s="74"/>
      <c r="P332" s="75"/>
      <c r="Q332" s="76"/>
      <c r="S332" s="110"/>
      <c r="T332" s="12"/>
      <c r="U332" s="12"/>
      <c r="V332" s="12"/>
      <c r="W332" s="19"/>
      <c r="X332" s="111"/>
    </row>
    <row r="333" spans="1:24" ht="12.75" hidden="1" outlineLevel="1">
      <c r="A333" s="60"/>
      <c r="B333" s="61">
        <v>2</v>
      </c>
      <c r="C333" s="62">
        <v>8.2</v>
      </c>
      <c r="D333" s="65"/>
      <c r="E333" s="44"/>
      <c r="F333" s="33"/>
      <c r="G333" s="42"/>
      <c r="H333" s="43"/>
      <c r="I333" s="43"/>
      <c r="J333" s="36"/>
      <c r="K333" s="37">
        <f t="shared" si="25"/>
      </c>
      <c r="L333" s="31"/>
      <c r="M333" s="72"/>
      <c r="N333" s="73"/>
      <c r="O333" s="74"/>
      <c r="P333" s="75"/>
      <c r="Q333" s="76"/>
      <c r="S333" s="110"/>
      <c r="T333" s="12"/>
      <c r="U333" s="12"/>
      <c r="V333" s="12"/>
      <c r="W333" s="19"/>
      <c r="X333" s="111"/>
    </row>
    <row r="334" spans="1:24" ht="12.75" hidden="1" outlineLevel="1">
      <c r="A334" s="60"/>
      <c r="B334" s="61"/>
      <c r="C334" s="135">
        <v>2.4</v>
      </c>
      <c r="D334" s="63">
        <f>+C334*C333*B333</f>
        <v>39.35999999999999</v>
      </c>
      <c r="E334" s="44"/>
      <c r="F334" s="33"/>
      <c r="G334" s="42"/>
      <c r="H334" s="43"/>
      <c r="I334" s="43"/>
      <c r="J334" s="36"/>
      <c r="K334" s="37">
        <f t="shared" si="25"/>
      </c>
      <c r="L334" s="31"/>
      <c r="M334" s="72"/>
      <c r="N334" s="73"/>
      <c r="O334" s="74"/>
      <c r="P334" s="75"/>
      <c r="Q334" s="76"/>
      <c r="S334" s="110"/>
      <c r="T334" s="12"/>
      <c r="U334" s="12"/>
      <c r="V334" s="12"/>
      <c r="W334" s="19"/>
      <c r="X334" s="111"/>
    </row>
    <row r="335" spans="1:24" ht="12.75" hidden="1" outlineLevel="1">
      <c r="A335" s="60"/>
      <c r="B335" s="61">
        <v>-2</v>
      </c>
      <c r="C335" s="62">
        <v>3</v>
      </c>
      <c r="D335" s="63"/>
      <c r="E335" s="77"/>
      <c r="F335" s="33"/>
      <c r="G335" s="42"/>
      <c r="H335" s="43"/>
      <c r="I335" s="43"/>
      <c r="J335" s="36"/>
      <c r="K335" s="37">
        <f t="shared" si="25"/>
      </c>
      <c r="L335" s="31"/>
      <c r="M335" s="72"/>
      <c r="N335" s="73"/>
      <c r="O335" s="74"/>
      <c r="P335" s="75"/>
      <c r="Q335" s="76"/>
      <c r="S335" s="110"/>
      <c r="T335" s="12"/>
      <c r="U335" s="12"/>
      <c r="V335" s="12"/>
      <c r="W335" s="19"/>
      <c r="X335" s="111"/>
    </row>
    <row r="336" spans="1:24" ht="12.75" hidden="1" outlineLevel="1">
      <c r="A336" s="60"/>
      <c r="B336" s="61"/>
      <c r="C336" s="135">
        <v>1.7</v>
      </c>
      <c r="D336" s="63">
        <f>+C336*C335*B335</f>
        <v>-10.2</v>
      </c>
      <c r="E336" s="77"/>
      <c r="F336" s="33"/>
      <c r="G336" s="42"/>
      <c r="H336" s="43"/>
      <c r="I336" s="43"/>
      <c r="J336" s="36"/>
      <c r="K336" s="37">
        <f t="shared" si="25"/>
      </c>
      <c r="L336" s="31"/>
      <c r="M336" s="72"/>
      <c r="N336" s="73"/>
      <c r="O336" s="74"/>
      <c r="P336" s="75"/>
      <c r="Q336" s="76"/>
      <c r="S336" s="110"/>
      <c r="T336" s="12"/>
      <c r="U336" s="12"/>
      <c r="V336" s="12"/>
      <c r="W336" s="19"/>
      <c r="X336" s="111"/>
    </row>
    <row r="337" spans="1:24" ht="12.75" hidden="1" outlineLevel="1">
      <c r="A337" s="60"/>
      <c r="B337" s="61">
        <v>-1</v>
      </c>
      <c r="C337" s="62">
        <v>0.9</v>
      </c>
      <c r="D337" s="63"/>
      <c r="E337" s="77"/>
      <c r="F337" s="33"/>
      <c r="G337" s="42"/>
      <c r="H337" s="43"/>
      <c r="I337" s="43"/>
      <c r="J337" s="36"/>
      <c r="K337" s="37">
        <f t="shared" si="25"/>
      </c>
      <c r="L337" s="31"/>
      <c r="M337" s="72"/>
      <c r="N337" s="73"/>
      <c r="O337" s="74"/>
      <c r="P337" s="75">
        <f>+IF(M337="item",O337,IF(M337&lt;&gt;0,M337*O337,""))</f>
      </c>
      <c r="Q337" s="76"/>
      <c r="S337" s="110"/>
      <c r="T337" s="12"/>
      <c r="U337" s="12"/>
      <c r="V337" s="12"/>
      <c r="W337" s="19"/>
      <c r="X337" s="111"/>
    </row>
    <row r="338" spans="1:24" ht="12.75" hidden="1" outlineLevel="1">
      <c r="A338" s="60"/>
      <c r="B338" s="61"/>
      <c r="C338" s="135">
        <v>1.3</v>
      </c>
      <c r="D338" s="63">
        <f>+C338*C337*B337</f>
        <v>-1.1700000000000002</v>
      </c>
      <c r="E338" s="77"/>
      <c r="F338" s="33"/>
      <c r="G338" s="42"/>
      <c r="H338" s="43"/>
      <c r="I338" s="43"/>
      <c r="J338" s="36"/>
      <c r="K338" s="37">
        <f t="shared" si="25"/>
      </c>
      <c r="L338" s="31"/>
      <c r="M338" s="72"/>
      <c r="N338" s="73"/>
      <c r="O338" s="74"/>
      <c r="P338" s="75">
        <f>+IF(M338="item",O338,IF(M338&lt;&gt;0,M338*O338,""))</f>
      </c>
      <c r="Q338" s="76"/>
      <c r="S338" s="110"/>
      <c r="T338" s="12"/>
      <c r="U338" s="12"/>
      <c r="V338" s="12"/>
      <c r="W338" s="19"/>
      <c r="X338" s="111"/>
    </row>
    <row r="339" spans="1:24" ht="12.75" hidden="1" outlineLevel="1">
      <c r="A339" s="60"/>
      <c r="B339" s="61">
        <v>-1</v>
      </c>
      <c r="C339" s="62">
        <v>1.1</v>
      </c>
      <c r="D339" s="63"/>
      <c r="E339" s="77"/>
      <c r="F339" s="33"/>
      <c r="G339" s="42"/>
      <c r="H339" s="43"/>
      <c r="I339" s="43"/>
      <c r="J339" s="36"/>
      <c r="K339" s="37">
        <f t="shared" si="25"/>
      </c>
      <c r="L339" s="31"/>
      <c r="M339" s="72"/>
      <c r="N339" s="73"/>
      <c r="O339" s="74"/>
      <c r="P339" s="75">
        <f>+IF(M339="item",O339,IF(M339&lt;&gt;0,M339*O339,""))</f>
      </c>
      <c r="Q339" s="76"/>
      <c r="S339" s="110"/>
      <c r="T339" s="12"/>
      <c r="U339" s="12"/>
      <c r="V339" s="12"/>
      <c r="W339" s="19"/>
      <c r="X339" s="111"/>
    </row>
    <row r="340" spans="1:24" ht="12.75" hidden="1" outlineLevel="1">
      <c r="A340" s="60"/>
      <c r="B340" s="61"/>
      <c r="C340" s="135">
        <v>2.3</v>
      </c>
      <c r="D340" s="63">
        <f>+C340*C339*B339</f>
        <v>-2.53</v>
      </c>
      <c r="E340" s="77"/>
      <c r="F340" s="33"/>
      <c r="G340" s="42"/>
      <c r="H340" s="43"/>
      <c r="I340" s="43"/>
      <c r="J340" s="36"/>
      <c r="K340" s="37">
        <f t="shared" si="25"/>
      </c>
      <c r="L340" s="31"/>
      <c r="M340" s="72"/>
      <c r="N340" s="73"/>
      <c r="O340" s="74"/>
      <c r="P340" s="75"/>
      <c r="Q340" s="76"/>
      <c r="S340" s="110"/>
      <c r="T340" s="12"/>
      <c r="U340" s="12"/>
      <c r="V340" s="12"/>
      <c r="W340" s="19"/>
      <c r="X340" s="111"/>
    </row>
    <row r="341" spans="1:24" ht="12.75" hidden="1" outlineLevel="1">
      <c r="A341" s="60"/>
      <c r="B341" s="61">
        <v>-4</v>
      </c>
      <c r="C341" s="62">
        <v>0.6</v>
      </c>
      <c r="D341" s="63"/>
      <c r="E341" s="77"/>
      <c r="F341" s="33"/>
      <c r="G341" s="42"/>
      <c r="H341" s="43"/>
      <c r="I341" s="43"/>
      <c r="J341" s="36"/>
      <c r="K341" s="37">
        <f t="shared" si="25"/>
      </c>
      <c r="L341" s="31"/>
      <c r="M341" s="72"/>
      <c r="N341" s="73"/>
      <c r="O341" s="74"/>
      <c r="P341" s="75"/>
      <c r="Q341" s="76"/>
      <c r="S341" s="110"/>
      <c r="T341" s="12"/>
      <c r="U341" s="12"/>
      <c r="V341" s="12"/>
      <c r="W341" s="19"/>
      <c r="X341" s="111"/>
    </row>
    <row r="342" spans="1:24" ht="12.75" hidden="1" outlineLevel="1">
      <c r="A342" s="60"/>
      <c r="B342" s="61"/>
      <c r="C342" s="135">
        <v>1.7</v>
      </c>
      <c r="D342" s="63">
        <f>+C342*C341*B341</f>
        <v>-4.08</v>
      </c>
      <c r="E342" s="77"/>
      <c r="F342" s="33"/>
      <c r="G342" s="42"/>
      <c r="H342" s="43"/>
      <c r="I342" s="43"/>
      <c r="J342" s="36"/>
      <c r="K342" s="37">
        <f t="shared" si="25"/>
      </c>
      <c r="L342" s="31"/>
      <c r="M342" s="72"/>
      <c r="N342" s="73"/>
      <c r="O342" s="74"/>
      <c r="P342" s="75"/>
      <c r="Q342" s="76"/>
      <c r="S342" s="110"/>
      <c r="T342" s="12"/>
      <c r="U342" s="12"/>
      <c r="V342" s="12"/>
      <c r="W342" s="19"/>
      <c r="X342" s="111"/>
    </row>
    <row r="343" spans="1:24" ht="12.75" hidden="1" outlineLevel="1">
      <c r="A343" s="60"/>
      <c r="B343" s="61">
        <v>-1</v>
      </c>
      <c r="C343" s="62">
        <v>0.8</v>
      </c>
      <c r="D343" s="63"/>
      <c r="E343" s="77"/>
      <c r="F343" s="33"/>
      <c r="G343" s="42"/>
      <c r="H343" s="43"/>
      <c r="I343" s="43"/>
      <c r="J343" s="36"/>
      <c r="K343" s="37">
        <f t="shared" si="25"/>
      </c>
      <c r="L343" s="31"/>
      <c r="M343" s="72"/>
      <c r="N343" s="73"/>
      <c r="O343" s="74"/>
      <c r="P343" s="75"/>
      <c r="Q343" s="76"/>
      <c r="S343" s="110"/>
      <c r="T343" s="12"/>
      <c r="U343" s="12"/>
      <c r="V343" s="12"/>
      <c r="W343" s="19"/>
      <c r="X343" s="111"/>
    </row>
    <row r="344" spans="1:24" ht="12.75" hidden="1" outlineLevel="1">
      <c r="A344" s="60"/>
      <c r="B344" s="61"/>
      <c r="C344" s="135">
        <v>1.1</v>
      </c>
      <c r="D344" s="63">
        <f>+C344*C343*B343</f>
        <v>-0.8800000000000001</v>
      </c>
      <c r="E344" s="77"/>
      <c r="F344" s="33"/>
      <c r="G344" s="42"/>
      <c r="H344" s="43"/>
      <c r="I344" s="43"/>
      <c r="J344" s="36"/>
      <c r="K344" s="37">
        <f t="shared" si="25"/>
      </c>
      <c r="L344" s="31"/>
      <c r="M344" s="72"/>
      <c r="N344" s="73"/>
      <c r="O344" s="74"/>
      <c r="P344" s="75"/>
      <c r="Q344" s="76"/>
      <c r="S344" s="110"/>
      <c r="T344" s="12"/>
      <c r="U344" s="12"/>
      <c r="V344" s="12"/>
      <c r="W344" s="19"/>
      <c r="X344" s="111"/>
    </row>
    <row r="345" spans="1:24" ht="12.75" hidden="1" outlineLevel="1">
      <c r="A345" s="60"/>
      <c r="B345" s="61">
        <v>-1</v>
      </c>
      <c r="C345" s="62">
        <v>2.1</v>
      </c>
      <c r="D345" s="63"/>
      <c r="E345" s="77"/>
      <c r="F345" s="33"/>
      <c r="G345" s="42"/>
      <c r="H345" s="43"/>
      <c r="I345" s="43"/>
      <c r="J345" s="36"/>
      <c r="K345" s="37">
        <f t="shared" si="25"/>
      </c>
      <c r="L345" s="31"/>
      <c r="M345" s="72"/>
      <c r="N345" s="73"/>
      <c r="O345" s="74"/>
      <c r="P345" s="75"/>
      <c r="Q345" s="76"/>
      <c r="S345" s="110"/>
      <c r="T345" s="12"/>
      <c r="U345" s="12"/>
      <c r="V345" s="12"/>
      <c r="W345" s="19"/>
      <c r="X345" s="111"/>
    </row>
    <row r="346" spans="1:24" ht="12.75" hidden="1" outlineLevel="1">
      <c r="A346" s="60"/>
      <c r="B346" s="61"/>
      <c r="C346" s="135">
        <v>1.7</v>
      </c>
      <c r="D346" s="63">
        <f>+C346*C345*B345</f>
        <v>-3.57</v>
      </c>
      <c r="E346" s="77"/>
      <c r="F346" s="33"/>
      <c r="G346" s="42"/>
      <c r="H346" s="43"/>
      <c r="I346" s="43"/>
      <c r="J346" s="36"/>
      <c r="K346" s="37">
        <f t="shared" si="25"/>
      </c>
      <c r="L346" s="31"/>
      <c r="M346" s="72"/>
      <c r="N346" s="73"/>
      <c r="O346" s="74"/>
      <c r="P346" s="75"/>
      <c r="Q346" s="76"/>
      <c r="S346" s="110"/>
      <c r="T346" s="12"/>
      <c r="U346" s="12"/>
      <c r="V346" s="12"/>
      <c r="W346" s="19"/>
      <c r="X346" s="111"/>
    </row>
    <row r="347" spans="1:24" ht="12.75" hidden="1" outlineLevel="1">
      <c r="A347" s="60"/>
      <c r="B347" s="61">
        <v>-1</v>
      </c>
      <c r="C347" s="62">
        <v>2.2</v>
      </c>
      <c r="D347" s="63"/>
      <c r="E347" s="77"/>
      <c r="F347" s="33"/>
      <c r="G347" s="42"/>
      <c r="H347" s="43"/>
      <c r="I347" s="43"/>
      <c r="J347" s="36"/>
      <c r="K347" s="37">
        <f t="shared" si="25"/>
      </c>
      <c r="L347" s="31"/>
      <c r="M347" s="72"/>
      <c r="N347" s="73"/>
      <c r="O347" s="74"/>
      <c r="P347" s="75"/>
      <c r="Q347" s="76"/>
      <c r="S347" s="110"/>
      <c r="T347" s="12"/>
      <c r="U347" s="12"/>
      <c r="V347" s="12"/>
      <c r="W347" s="19"/>
      <c r="X347" s="111"/>
    </row>
    <row r="348" spans="1:24" ht="12.75" hidden="1" outlineLevel="1">
      <c r="A348" s="60"/>
      <c r="B348" s="61"/>
      <c r="C348" s="135">
        <v>1.7</v>
      </c>
      <c r="D348" s="63">
        <f>+C348*C347*B347</f>
        <v>-3.74</v>
      </c>
      <c r="E348" s="77"/>
      <c r="F348" s="33"/>
      <c r="G348" s="42"/>
      <c r="H348" s="43"/>
      <c r="I348" s="43"/>
      <c r="J348" s="36"/>
      <c r="K348" s="37">
        <f t="shared" si="25"/>
      </c>
      <c r="L348" s="31"/>
      <c r="M348" s="72"/>
      <c r="N348" s="73"/>
      <c r="O348" s="74"/>
      <c r="P348" s="75"/>
      <c r="Q348" s="76"/>
      <c r="S348" s="110"/>
      <c r="T348" s="12"/>
      <c r="U348" s="12"/>
      <c r="V348" s="12"/>
      <c r="W348" s="19"/>
      <c r="X348" s="111"/>
    </row>
    <row r="349" spans="1:24" ht="12.75" hidden="1" outlineLevel="1">
      <c r="A349" s="60"/>
      <c r="B349" s="61">
        <v>-1</v>
      </c>
      <c r="C349" s="62">
        <v>1.3</v>
      </c>
      <c r="D349" s="63"/>
      <c r="E349" s="77"/>
      <c r="F349" s="33"/>
      <c r="G349" s="42"/>
      <c r="H349" s="43"/>
      <c r="I349" s="43"/>
      <c r="J349" s="36"/>
      <c r="K349" s="37">
        <f t="shared" si="25"/>
      </c>
      <c r="L349" s="31"/>
      <c r="M349" s="72"/>
      <c r="N349" s="73"/>
      <c r="O349" s="74"/>
      <c r="P349" s="75"/>
      <c r="Q349" s="76"/>
      <c r="S349" s="110"/>
      <c r="T349" s="12"/>
      <c r="U349" s="12"/>
      <c r="V349" s="12"/>
      <c r="W349" s="19"/>
      <c r="X349" s="111"/>
    </row>
    <row r="350" spans="1:24" ht="12.75" hidden="1" outlineLevel="1">
      <c r="A350" s="60"/>
      <c r="B350" s="61"/>
      <c r="C350" s="135">
        <v>1</v>
      </c>
      <c r="D350" s="63">
        <f>+C350*C349*B349</f>
        <v>-1.3</v>
      </c>
      <c r="E350" s="77"/>
      <c r="F350" s="33"/>
      <c r="G350" s="42"/>
      <c r="H350" s="43"/>
      <c r="I350" s="43"/>
      <c r="J350" s="36"/>
      <c r="K350" s="37">
        <f t="shared" si="25"/>
      </c>
      <c r="L350" s="31"/>
      <c r="M350" s="72"/>
      <c r="N350" s="73"/>
      <c r="O350" s="74"/>
      <c r="P350" s="75"/>
      <c r="Q350" s="76"/>
      <c r="S350" s="110"/>
      <c r="T350" s="12"/>
      <c r="U350" s="12"/>
      <c r="V350" s="12"/>
      <c r="W350" s="19"/>
      <c r="X350" s="111"/>
    </row>
    <row r="351" spans="1:24" ht="12.75" hidden="1" outlineLevel="1">
      <c r="A351" s="60"/>
      <c r="B351" s="61"/>
      <c r="C351" s="62"/>
      <c r="D351" s="65"/>
      <c r="E351" s="44"/>
      <c r="F351" s="33"/>
      <c r="G351" s="42"/>
      <c r="H351" s="43"/>
      <c r="I351" s="43"/>
      <c r="J351" s="36"/>
      <c r="K351" s="37">
        <f t="shared" si="25"/>
      </c>
      <c r="L351" s="31"/>
      <c r="M351" s="72"/>
      <c r="N351" s="73"/>
      <c r="O351" s="74"/>
      <c r="P351" s="75"/>
      <c r="Q351" s="76"/>
      <c r="S351" s="110"/>
      <c r="T351" s="12"/>
      <c r="U351" s="12"/>
      <c r="V351" s="12"/>
      <c r="W351" s="19"/>
      <c r="X351" s="111"/>
    </row>
    <row r="352" spans="1:24" ht="12.75" hidden="1" outlineLevel="1">
      <c r="A352" s="60"/>
      <c r="B352" s="61"/>
      <c r="C352" s="62"/>
      <c r="D352" s="65">
        <f>SUM(D331:D351)</f>
        <v>41.72999999999998</v>
      </c>
      <c r="E352" s="44"/>
      <c r="F352" s="33"/>
      <c r="G352" s="42"/>
      <c r="H352" s="43"/>
      <c r="I352" s="43"/>
      <c r="J352" s="36"/>
      <c r="K352" s="37">
        <f t="shared" si="25"/>
      </c>
      <c r="L352" s="31"/>
      <c r="M352" s="72"/>
      <c r="N352" s="73"/>
      <c r="O352" s="74"/>
      <c r="P352" s="75"/>
      <c r="Q352" s="76"/>
      <c r="S352" s="110"/>
      <c r="T352" s="12"/>
      <c r="U352" s="12"/>
      <c r="V352" s="12"/>
      <c r="W352" s="19"/>
      <c r="X352" s="111"/>
    </row>
    <row r="353" spans="1:24" ht="12.75" hidden="1" outlineLevel="1">
      <c r="A353" s="60"/>
      <c r="B353" s="61"/>
      <c r="C353" s="62"/>
      <c r="D353" s="65"/>
      <c r="E353" s="44"/>
      <c r="F353" s="33"/>
      <c r="G353" s="42"/>
      <c r="H353" s="43"/>
      <c r="I353" s="43"/>
      <c r="J353" s="36"/>
      <c r="K353" s="37">
        <f t="shared" si="25"/>
      </c>
      <c r="L353" s="31"/>
      <c r="M353" s="72"/>
      <c r="N353" s="73"/>
      <c r="O353" s="74"/>
      <c r="P353" s="75"/>
      <c r="Q353" s="76"/>
      <c r="S353" s="110"/>
      <c r="T353" s="12"/>
      <c r="U353" s="12"/>
      <c r="V353" s="12"/>
      <c r="W353" s="19"/>
      <c r="X353" s="111"/>
    </row>
    <row r="354" spans="1:24" ht="12.75" hidden="1" outlineLevel="1">
      <c r="A354" s="60"/>
      <c r="B354" s="61"/>
      <c r="C354" s="62"/>
      <c r="D354" s="65"/>
      <c r="E354" s="44" t="s">
        <v>352</v>
      </c>
      <c r="F354" s="33">
        <f>+ROUND(D352*6,0)</f>
        <v>250</v>
      </c>
      <c r="G354" s="42" t="s">
        <v>108</v>
      </c>
      <c r="H354" s="43">
        <v>0.02</v>
      </c>
      <c r="I354" s="43">
        <f>celotextape</f>
        <v>0.14375000000000004</v>
      </c>
      <c r="J354" s="36">
        <f>IF(+I354+H354&gt;0,I354+(H354*labour),"")</f>
        <v>0.74375</v>
      </c>
      <c r="K354" s="37">
        <f t="shared" si="25"/>
        <v>185.9375</v>
      </c>
      <c r="L354" s="31"/>
      <c r="M354" s="72"/>
      <c r="N354" s="73"/>
      <c r="O354" s="74"/>
      <c r="P354" s="75"/>
      <c r="Q354" s="76"/>
      <c r="S354" s="110"/>
      <c r="T354" s="12"/>
      <c r="U354" s="12"/>
      <c r="V354" s="12"/>
      <c r="W354" s="19"/>
      <c r="X354" s="111"/>
    </row>
    <row r="355" spans="1:24" ht="12.75" hidden="1" outlineLevel="1">
      <c r="A355" s="60"/>
      <c r="B355" s="61"/>
      <c r="C355" s="62"/>
      <c r="D355" s="65"/>
      <c r="E355" s="44"/>
      <c r="F355" s="33"/>
      <c r="G355" s="42"/>
      <c r="H355" s="43"/>
      <c r="I355" s="43"/>
      <c r="J355" s="36"/>
      <c r="K355" s="37">
        <f t="shared" si="25"/>
      </c>
      <c r="L355" s="31"/>
      <c r="M355" s="72"/>
      <c r="N355" s="73"/>
      <c r="O355" s="74"/>
      <c r="P355" s="75"/>
      <c r="Q355" s="76"/>
      <c r="S355" s="110"/>
      <c r="T355" s="12"/>
      <c r="U355" s="12"/>
      <c r="V355" s="12"/>
      <c r="W355" s="19"/>
      <c r="X355" s="111"/>
    </row>
    <row r="356" spans="1:24" ht="25.5" hidden="1" outlineLevel="1">
      <c r="A356" s="60"/>
      <c r="B356" s="61"/>
      <c r="C356" s="62"/>
      <c r="D356" s="65"/>
      <c r="E356" s="44" t="s">
        <v>230</v>
      </c>
      <c r="F356" s="33">
        <f>+F330</f>
        <v>42</v>
      </c>
      <c r="G356" s="42" t="s">
        <v>35</v>
      </c>
      <c r="H356" s="43"/>
      <c r="I356" s="43"/>
      <c r="J356" s="36">
        <v>13.22</v>
      </c>
      <c r="K356" s="37">
        <f t="shared" si="25"/>
        <v>555.24</v>
      </c>
      <c r="L356" s="31" t="s">
        <v>231</v>
      </c>
      <c r="M356" s="72"/>
      <c r="N356" s="73"/>
      <c r="O356" s="74"/>
      <c r="P356" s="75">
        <f aca="true" t="shared" si="26" ref="P356:P363">+IF(M356="item",O356,IF(M356&lt;&gt;0,M356*O356,""))</f>
      </c>
      <c r="Q356" s="76"/>
      <c r="S356" s="110"/>
      <c r="T356" s="12"/>
      <c r="U356" s="12"/>
      <c r="V356" s="12"/>
      <c r="W356" s="19"/>
      <c r="X356" s="111"/>
    </row>
    <row r="357" spans="1:24" ht="12.75" hidden="1" outlineLevel="1">
      <c r="A357" s="60"/>
      <c r="B357" s="61"/>
      <c r="C357" s="62"/>
      <c r="D357" s="65"/>
      <c r="E357" s="44"/>
      <c r="F357" s="33"/>
      <c r="G357" s="42"/>
      <c r="H357" s="43"/>
      <c r="I357" s="43"/>
      <c r="J357" s="36"/>
      <c r="K357" s="37">
        <f t="shared" si="25"/>
      </c>
      <c r="L357" s="31"/>
      <c r="M357" s="72"/>
      <c r="N357" s="73"/>
      <c r="O357" s="74"/>
      <c r="P357" s="75">
        <f t="shared" si="26"/>
      </c>
      <c r="Q357" s="76"/>
      <c r="S357" s="110"/>
      <c r="T357" s="12"/>
      <c r="U357" s="12"/>
      <c r="V357" s="12"/>
      <c r="W357" s="19"/>
      <c r="X357" s="111"/>
    </row>
    <row r="358" spans="1:24" ht="12.75" hidden="1" outlineLevel="1">
      <c r="A358" s="60"/>
      <c r="B358" s="61"/>
      <c r="C358" s="62"/>
      <c r="D358" s="65"/>
      <c r="E358" s="44" t="s">
        <v>233</v>
      </c>
      <c r="F358" s="33">
        <f>+++F356</f>
        <v>42</v>
      </c>
      <c r="G358" s="42" t="s">
        <v>35</v>
      </c>
      <c r="H358" s="43"/>
      <c r="I358" s="43"/>
      <c r="J358" s="36">
        <v>9.86</v>
      </c>
      <c r="K358" s="37">
        <f t="shared" si="25"/>
        <v>414.12</v>
      </c>
      <c r="L358" s="31" t="s">
        <v>232</v>
      </c>
      <c r="M358" s="72"/>
      <c r="N358" s="73"/>
      <c r="O358" s="74"/>
      <c r="P358" s="75">
        <f t="shared" si="26"/>
      </c>
      <c r="Q358" s="76"/>
      <c r="S358" s="110"/>
      <c r="T358" s="12"/>
      <c r="U358" s="12"/>
      <c r="V358" s="12"/>
      <c r="W358" s="19"/>
      <c r="X358" s="111"/>
    </row>
    <row r="359" spans="1:24" ht="12.75" hidden="1" outlineLevel="1">
      <c r="A359" s="60"/>
      <c r="B359" s="61"/>
      <c r="C359" s="62"/>
      <c r="D359" s="65"/>
      <c r="E359" s="44"/>
      <c r="F359" s="33"/>
      <c r="G359" s="42"/>
      <c r="H359" s="43"/>
      <c r="I359" s="43"/>
      <c r="J359" s="36"/>
      <c r="K359" s="37">
        <f t="shared" si="25"/>
      </c>
      <c r="L359" s="31"/>
      <c r="M359" s="72"/>
      <c r="N359" s="73"/>
      <c r="O359" s="74"/>
      <c r="P359" s="75">
        <f t="shared" si="26"/>
      </c>
      <c r="Q359" s="76"/>
      <c r="S359" s="110"/>
      <c r="T359" s="12"/>
      <c r="U359" s="12"/>
      <c r="V359" s="12"/>
      <c r="W359" s="19"/>
      <c r="X359" s="111"/>
    </row>
    <row r="360" spans="1:24" ht="12.75" hidden="1" outlineLevel="1">
      <c r="A360" s="60"/>
      <c r="B360" s="61"/>
      <c r="C360" s="62"/>
      <c r="D360" s="65"/>
      <c r="E360" s="44" t="s">
        <v>234</v>
      </c>
      <c r="F360" s="33">
        <f>+F358</f>
        <v>42</v>
      </c>
      <c r="G360" s="42" t="s">
        <v>35</v>
      </c>
      <c r="H360" s="43"/>
      <c r="I360" s="43"/>
      <c r="J360" s="36">
        <v>7.33</v>
      </c>
      <c r="K360" s="37">
        <f t="shared" si="25"/>
        <v>307.86</v>
      </c>
      <c r="L360" s="31" t="s">
        <v>235</v>
      </c>
      <c r="M360" s="72"/>
      <c r="N360" s="73"/>
      <c r="O360" s="74"/>
      <c r="P360" s="75">
        <f t="shared" si="26"/>
      </c>
      <c r="Q360" s="76"/>
      <c r="S360" s="110"/>
      <c r="T360" s="12"/>
      <c r="U360" s="12"/>
      <c r="V360" s="12"/>
      <c r="W360" s="19"/>
      <c r="X360" s="111"/>
    </row>
    <row r="361" spans="1:24" ht="12.75" hidden="1" outlineLevel="1">
      <c r="A361" s="60"/>
      <c r="B361" s="61"/>
      <c r="C361" s="62"/>
      <c r="D361" s="65"/>
      <c r="E361" s="44"/>
      <c r="F361" s="33"/>
      <c r="G361" s="42"/>
      <c r="H361" s="43"/>
      <c r="I361" s="43"/>
      <c r="J361" s="36"/>
      <c r="K361" s="37">
        <f t="shared" si="25"/>
      </c>
      <c r="L361" s="31"/>
      <c r="M361" s="72"/>
      <c r="N361" s="73"/>
      <c r="O361" s="74"/>
      <c r="P361" s="75">
        <f t="shared" si="26"/>
      </c>
      <c r="Q361" s="76"/>
      <c r="S361" s="110"/>
      <c r="T361" s="12"/>
      <c r="U361" s="12"/>
      <c r="V361" s="12"/>
      <c r="W361" s="19"/>
      <c r="X361" s="111"/>
    </row>
    <row r="362" spans="1:24" ht="25.5" hidden="1" outlineLevel="1">
      <c r="A362" s="60"/>
      <c r="B362" s="61"/>
      <c r="C362" s="62"/>
      <c r="D362" s="65"/>
      <c r="E362" s="44" t="s">
        <v>354</v>
      </c>
      <c r="F362" s="33">
        <f>ROUND(D379,0)</f>
        <v>81</v>
      </c>
      <c r="G362" s="42" t="s">
        <v>108</v>
      </c>
      <c r="H362" s="43"/>
      <c r="I362" s="43"/>
      <c r="J362" s="36">
        <v>7.25</v>
      </c>
      <c r="K362" s="37">
        <f t="shared" si="25"/>
        <v>587.25</v>
      </c>
      <c r="L362" s="31" t="s">
        <v>184</v>
      </c>
      <c r="M362" s="72"/>
      <c r="N362" s="73"/>
      <c r="O362" s="74"/>
      <c r="P362" s="75">
        <f t="shared" si="26"/>
      </c>
      <c r="Q362" s="76"/>
      <c r="S362" s="110"/>
      <c r="T362" s="12"/>
      <c r="U362" s="12"/>
      <c r="V362" s="12"/>
      <c r="W362" s="19"/>
      <c r="X362" s="111"/>
    </row>
    <row r="363" spans="1:24" ht="12.75" hidden="1" outlineLevel="1">
      <c r="A363" s="60"/>
      <c r="B363" s="61">
        <v>2</v>
      </c>
      <c r="C363" s="135">
        <v>3</v>
      </c>
      <c r="D363" s="63">
        <f>+C363*B363</f>
        <v>6</v>
      </c>
      <c r="E363" s="44"/>
      <c r="F363" s="33"/>
      <c r="G363" s="42"/>
      <c r="H363" s="43"/>
      <c r="I363" s="43"/>
      <c r="J363" s="36"/>
      <c r="K363" s="37">
        <f t="shared" si="25"/>
      </c>
      <c r="L363" s="31"/>
      <c r="M363" s="72"/>
      <c r="N363" s="73"/>
      <c r="O363" s="74"/>
      <c r="P363" s="75">
        <f t="shared" si="26"/>
      </c>
      <c r="Q363" s="76"/>
      <c r="S363" s="110"/>
      <c r="T363" s="12"/>
      <c r="U363" s="12"/>
      <c r="V363" s="12"/>
      <c r="W363" s="19"/>
      <c r="X363" s="111"/>
    </row>
    <row r="364" spans="1:24" ht="12.75" hidden="1" outlineLevel="1">
      <c r="A364" s="60">
        <v>2</v>
      </c>
      <c r="B364" s="61">
        <v>2</v>
      </c>
      <c r="C364" s="156">
        <v>1.7</v>
      </c>
      <c r="D364" s="63">
        <f>+C364*B364*A364</f>
        <v>6.8</v>
      </c>
      <c r="E364" s="44"/>
      <c r="F364" s="33"/>
      <c r="G364" s="42"/>
      <c r="H364" s="43"/>
      <c r="I364" s="43"/>
      <c r="J364" s="36"/>
      <c r="K364" s="37"/>
      <c r="L364" s="31"/>
      <c r="M364" s="72"/>
      <c r="N364" s="73"/>
      <c r="O364" s="74"/>
      <c r="P364" s="75"/>
      <c r="Q364" s="76"/>
      <c r="S364" s="110"/>
      <c r="T364" s="12"/>
      <c r="U364" s="12"/>
      <c r="V364" s="12"/>
      <c r="W364" s="19"/>
      <c r="X364" s="111"/>
    </row>
    <row r="365" spans="1:24" ht="12.75" hidden="1" outlineLevel="1">
      <c r="A365" s="60"/>
      <c r="B365" s="61"/>
      <c r="C365" s="156">
        <v>0.9</v>
      </c>
      <c r="D365" s="63">
        <f>+C365</f>
        <v>0.9</v>
      </c>
      <c r="E365" s="44"/>
      <c r="F365" s="33"/>
      <c r="G365" s="42"/>
      <c r="H365" s="43"/>
      <c r="I365" s="43"/>
      <c r="J365" s="36"/>
      <c r="K365" s="37"/>
      <c r="L365" s="31"/>
      <c r="M365" s="72"/>
      <c r="N365" s="73"/>
      <c r="O365" s="74"/>
      <c r="P365" s="75"/>
      <c r="Q365" s="76"/>
      <c r="S365" s="110"/>
      <c r="T365" s="12"/>
      <c r="U365" s="12"/>
      <c r="V365" s="12"/>
      <c r="W365" s="19"/>
      <c r="X365" s="111"/>
    </row>
    <row r="366" spans="1:24" ht="12.75" hidden="1" outlineLevel="1">
      <c r="A366" s="60"/>
      <c r="B366" s="61">
        <v>2</v>
      </c>
      <c r="C366" s="156">
        <v>1.3</v>
      </c>
      <c r="D366" s="63">
        <f>+C366*B366</f>
        <v>2.6</v>
      </c>
      <c r="E366" s="44"/>
      <c r="F366" s="33"/>
      <c r="G366" s="42"/>
      <c r="H366" s="43"/>
      <c r="I366" s="43"/>
      <c r="J366" s="36"/>
      <c r="K366" s="37"/>
      <c r="L366" s="31"/>
      <c r="M366" s="72"/>
      <c r="N366" s="73"/>
      <c r="O366" s="74"/>
      <c r="P366" s="75"/>
      <c r="Q366" s="76"/>
      <c r="S366" s="110"/>
      <c r="T366" s="12"/>
      <c r="U366" s="12"/>
      <c r="V366" s="12"/>
      <c r="W366" s="19"/>
      <c r="X366" s="111"/>
    </row>
    <row r="367" spans="1:24" ht="12.75" hidden="1" outlineLevel="1">
      <c r="A367" s="60"/>
      <c r="B367" s="61"/>
      <c r="C367" s="156">
        <v>1.1</v>
      </c>
      <c r="D367" s="63">
        <f>+C367</f>
        <v>1.1</v>
      </c>
      <c r="E367" s="44"/>
      <c r="F367" s="33"/>
      <c r="G367" s="42"/>
      <c r="H367" s="43"/>
      <c r="I367" s="43"/>
      <c r="J367" s="36"/>
      <c r="K367" s="37"/>
      <c r="L367" s="31"/>
      <c r="M367" s="72"/>
      <c r="N367" s="73"/>
      <c r="O367" s="74"/>
      <c r="P367" s="75"/>
      <c r="Q367" s="76"/>
      <c r="S367" s="110"/>
      <c r="T367" s="12"/>
      <c r="U367" s="12"/>
      <c r="V367" s="12"/>
      <c r="W367" s="19"/>
      <c r="X367" s="111"/>
    </row>
    <row r="368" spans="1:24" ht="12.75" hidden="1" outlineLevel="1">
      <c r="A368" s="60"/>
      <c r="B368" s="61">
        <v>2</v>
      </c>
      <c r="C368" s="156">
        <v>2.3</v>
      </c>
      <c r="D368" s="63">
        <f>+C368*B368</f>
        <v>4.6</v>
      </c>
      <c r="E368" s="44"/>
      <c r="F368" s="33"/>
      <c r="G368" s="42"/>
      <c r="H368" s="43"/>
      <c r="I368" s="43"/>
      <c r="J368" s="36"/>
      <c r="K368" s="37"/>
      <c r="L368" s="31"/>
      <c r="M368" s="72"/>
      <c r="N368" s="73"/>
      <c r="O368" s="74"/>
      <c r="P368" s="75"/>
      <c r="Q368" s="76"/>
      <c r="S368" s="110"/>
      <c r="T368" s="12"/>
      <c r="U368" s="12"/>
      <c r="V368" s="12"/>
      <c r="W368" s="19"/>
      <c r="X368" s="111"/>
    </row>
    <row r="369" spans="1:24" ht="12.75" hidden="1" outlineLevel="1">
      <c r="A369" s="60"/>
      <c r="B369" s="61"/>
      <c r="C369" s="156">
        <v>0.6</v>
      </c>
      <c r="D369" s="63">
        <f>+C369</f>
        <v>0.6</v>
      </c>
      <c r="E369" s="44"/>
      <c r="F369" s="33"/>
      <c r="G369" s="42"/>
      <c r="H369" s="43"/>
      <c r="I369" s="43"/>
      <c r="J369" s="36"/>
      <c r="K369" s="37"/>
      <c r="L369" s="31"/>
      <c r="M369" s="72"/>
      <c r="N369" s="73"/>
      <c r="O369" s="74"/>
      <c r="P369" s="75"/>
      <c r="Q369" s="76"/>
      <c r="S369" s="110"/>
      <c r="T369" s="12"/>
      <c r="U369" s="12"/>
      <c r="V369" s="12"/>
      <c r="W369" s="19"/>
      <c r="X369" s="111"/>
    </row>
    <row r="370" spans="1:24" ht="12.75" hidden="1" outlineLevel="1">
      <c r="A370" s="60">
        <v>4</v>
      </c>
      <c r="B370" s="61">
        <v>2</v>
      </c>
      <c r="C370" s="156">
        <v>1.7</v>
      </c>
      <c r="D370" s="63">
        <f>+C370*B370*A370</f>
        <v>13.6</v>
      </c>
      <c r="E370" s="44"/>
      <c r="F370" s="33"/>
      <c r="G370" s="42"/>
      <c r="H370" s="43"/>
      <c r="I370" s="43"/>
      <c r="J370" s="36"/>
      <c r="K370" s="37"/>
      <c r="L370" s="31"/>
      <c r="M370" s="72"/>
      <c r="N370" s="73"/>
      <c r="O370" s="74"/>
      <c r="P370" s="75"/>
      <c r="Q370" s="76"/>
      <c r="S370" s="110"/>
      <c r="T370" s="12"/>
      <c r="U370" s="12"/>
      <c r="V370" s="12"/>
      <c r="W370" s="19"/>
      <c r="X370" s="111"/>
    </row>
    <row r="371" spans="1:24" ht="12.75" hidden="1" outlineLevel="1">
      <c r="A371" s="60"/>
      <c r="B371" s="61"/>
      <c r="C371" s="156">
        <v>0.8</v>
      </c>
      <c r="D371" s="63">
        <f>+C371</f>
        <v>0.8</v>
      </c>
      <c r="E371" s="44"/>
      <c r="F371" s="33"/>
      <c r="G371" s="42"/>
      <c r="H371" s="43"/>
      <c r="I371" s="43"/>
      <c r="J371" s="36"/>
      <c r="K371" s="37"/>
      <c r="L371" s="31"/>
      <c r="M371" s="72"/>
      <c r="N371" s="73"/>
      <c r="O371" s="74"/>
      <c r="P371" s="75"/>
      <c r="Q371" s="76"/>
      <c r="S371" s="110"/>
      <c r="T371" s="12"/>
      <c r="U371" s="12"/>
      <c r="V371" s="12"/>
      <c r="W371" s="19"/>
      <c r="X371" s="111"/>
    </row>
    <row r="372" spans="1:24" ht="12.75" hidden="1" outlineLevel="1">
      <c r="A372" s="60"/>
      <c r="B372" s="61">
        <v>2</v>
      </c>
      <c r="C372" s="156">
        <v>1.1</v>
      </c>
      <c r="D372" s="63">
        <f>+C372*B372</f>
        <v>2.2</v>
      </c>
      <c r="E372" s="44"/>
      <c r="F372" s="33"/>
      <c r="G372" s="42"/>
      <c r="H372" s="43"/>
      <c r="I372" s="43"/>
      <c r="J372" s="36"/>
      <c r="K372" s="37"/>
      <c r="L372" s="31"/>
      <c r="M372" s="72"/>
      <c r="N372" s="73"/>
      <c r="O372" s="74"/>
      <c r="P372" s="75"/>
      <c r="Q372" s="76"/>
      <c r="S372" s="110"/>
      <c r="T372" s="12"/>
      <c r="U372" s="12"/>
      <c r="V372" s="12"/>
      <c r="W372" s="19"/>
      <c r="X372" s="111"/>
    </row>
    <row r="373" spans="1:24" ht="12.75" hidden="1" outlineLevel="1">
      <c r="A373" s="60"/>
      <c r="B373" s="61"/>
      <c r="C373" s="156">
        <v>2.1</v>
      </c>
      <c r="D373" s="63">
        <f>+C373</f>
        <v>2.1</v>
      </c>
      <c r="E373" s="44"/>
      <c r="F373" s="33"/>
      <c r="G373" s="42"/>
      <c r="H373" s="43"/>
      <c r="I373" s="43"/>
      <c r="J373" s="36"/>
      <c r="K373" s="37"/>
      <c r="L373" s="31"/>
      <c r="M373" s="72"/>
      <c r="N373" s="73"/>
      <c r="O373" s="74"/>
      <c r="P373" s="75"/>
      <c r="Q373" s="76"/>
      <c r="S373" s="110"/>
      <c r="T373" s="12"/>
      <c r="U373" s="12"/>
      <c r="V373" s="12"/>
      <c r="W373" s="19"/>
      <c r="X373" s="111"/>
    </row>
    <row r="374" spans="1:24" ht="12.75" hidden="1" outlineLevel="1">
      <c r="A374" s="60"/>
      <c r="B374" s="61">
        <v>2</v>
      </c>
      <c r="C374" s="156">
        <v>1.7</v>
      </c>
      <c r="D374" s="63">
        <f>+C374*B374</f>
        <v>3.4</v>
      </c>
      <c r="E374" s="44"/>
      <c r="F374" s="33"/>
      <c r="G374" s="42"/>
      <c r="H374" s="43"/>
      <c r="I374" s="43"/>
      <c r="J374" s="36"/>
      <c r="K374" s="37"/>
      <c r="L374" s="31"/>
      <c r="M374" s="72"/>
      <c r="N374" s="73"/>
      <c r="O374" s="74"/>
      <c r="P374" s="75"/>
      <c r="Q374" s="76"/>
      <c r="S374" s="110"/>
      <c r="T374" s="12"/>
      <c r="U374" s="12"/>
      <c r="V374" s="12"/>
      <c r="W374" s="19"/>
      <c r="X374" s="111"/>
    </row>
    <row r="375" spans="1:24" ht="12.75" hidden="1" outlineLevel="1">
      <c r="A375" s="60"/>
      <c r="B375" s="61"/>
      <c r="C375" s="156">
        <v>2.2</v>
      </c>
      <c r="D375" s="63">
        <f>+C375</f>
        <v>2.2</v>
      </c>
      <c r="E375" s="44"/>
      <c r="F375" s="33"/>
      <c r="G375" s="42"/>
      <c r="H375" s="43"/>
      <c r="I375" s="43"/>
      <c r="J375" s="36"/>
      <c r="K375" s="37"/>
      <c r="L375" s="31"/>
      <c r="M375" s="72"/>
      <c r="N375" s="73"/>
      <c r="O375" s="74"/>
      <c r="P375" s="75"/>
      <c r="Q375" s="76"/>
      <c r="S375" s="110"/>
      <c r="T375" s="12"/>
      <c r="U375" s="12"/>
      <c r="V375" s="12"/>
      <c r="W375" s="19"/>
      <c r="X375" s="111"/>
    </row>
    <row r="376" spans="1:24" ht="12.75" hidden="1" outlineLevel="1">
      <c r="A376" s="60"/>
      <c r="B376" s="61">
        <v>2</v>
      </c>
      <c r="C376" s="156">
        <v>2.4</v>
      </c>
      <c r="D376" s="63">
        <f>+C376*B376</f>
        <v>4.8</v>
      </c>
      <c r="E376" s="44"/>
      <c r="F376" s="33"/>
      <c r="G376" s="42"/>
      <c r="H376" s="43"/>
      <c r="I376" s="43"/>
      <c r="J376" s="36"/>
      <c r="K376" s="37"/>
      <c r="L376" s="31"/>
      <c r="M376" s="72"/>
      <c r="N376" s="73"/>
      <c r="O376" s="74"/>
      <c r="P376" s="75"/>
      <c r="Q376" s="76"/>
      <c r="S376" s="110"/>
      <c r="T376" s="12"/>
      <c r="U376" s="12"/>
      <c r="V376" s="12"/>
      <c r="W376" s="19"/>
      <c r="X376" s="111"/>
    </row>
    <row r="377" spans="1:24" ht="12.75" hidden="1" outlineLevel="1">
      <c r="A377" s="60"/>
      <c r="B377" s="61">
        <v>12</v>
      </c>
      <c r="C377" s="156">
        <v>2.4</v>
      </c>
      <c r="D377" s="63">
        <f>+C377*B377</f>
        <v>28.799999999999997</v>
      </c>
      <c r="E377" s="44"/>
      <c r="F377" s="33"/>
      <c r="G377" s="42"/>
      <c r="H377" s="43"/>
      <c r="I377" s="43"/>
      <c r="J377" s="36"/>
      <c r="K377" s="37"/>
      <c r="L377" s="31"/>
      <c r="M377" s="72"/>
      <c r="N377" s="73"/>
      <c r="O377" s="74"/>
      <c r="P377" s="75"/>
      <c r="Q377" s="76"/>
      <c r="S377" s="110"/>
      <c r="T377" s="12"/>
      <c r="U377" s="12"/>
      <c r="V377" s="12"/>
      <c r="W377" s="19"/>
      <c r="X377" s="111"/>
    </row>
    <row r="378" spans="1:24" ht="12.75" hidden="1" outlineLevel="1">
      <c r="A378" s="60"/>
      <c r="B378" s="61"/>
      <c r="C378" s="62"/>
      <c r="D378" s="63"/>
      <c r="E378" s="44"/>
      <c r="F378" s="33"/>
      <c r="G378" s="42"/>
      <c r="H378" s="43"/>
      <c r="I378" s="43"/>
      <c r="J378" s="36"/>
      <c r="K378" s="37"/>
      <c r="L378" s="31"/>
      <c r="M378" s="72"/>
      <c r="N378" s="73"/>
      <c r="O378" s="74"/>
      <c r="P378" s="75"/>
      <c r="Q378" s="76"/>
      <c r="S378" s="110"/>
      <c r="T378" s="12"/>
      <c r="U378" s="12"/>
      <c r="V378" s="12"/>
      <c r="W378" s="19"/>
      <c r="X378" s="111"/>
    </row>
    <row r="379" spans="1:24" ht="12.75" hidden="1" outlineLevel="1">
      <c r="A379" s="60"/>
      <c r="B379" s="61"/>
      <c r="C379" s="62"/>
      <c r="D379" s="65">
        <f>SUM(D363:D378)</f>
        <v>80.5</v>
      </c>
      <c r="E379" s="44"/>
      <c r="F379" s="33"/>
      <c r="G379" s="42"/>
      <c r="H379" s="43"/>
      <c r="I379" s="43"/>
      <c r="J379" s="36"/>
      <c r="K379" s="37"/>
      <c r="L379" s="31"/>
      <c r="M379" s="72"/>
      <c r="N379" s="73"/>
      <c r="O379" s="74"/>
      <c r="P379" s="75"/>
      <c r="Q379" s="76"/>
      <c r="S379" s="110"/>
      <c r="T379" s="12"/>
      <c r="U379" s="12"/>
      <c r="V379" s="12"/>
      <c r="W379" s="19"/>
      <c r="X379" s="111"/>
    </row>
    <row r="380" spans="1:24" ht="12.75" hidden="1" outlineLevel="1">
      <c r="A380" s="60"/>
      <c r="B380" s="61"/>
      <c r="C380" s="62"/>
      <c r="D380" s="65"/>
      <c r="E380" s="44"/>
      <c r="F380" s="33"/>
      <c r="G380" s="42"/>
      <c r="H380" s="43"/>
      <c r="I380" s="43"/>
      <c r="J380" s="36"/>
      <c r="K380" s="37"/>
      <c r="L380" s="31"/>
      <c r="M380" s="72"/>
      <c r="N380" s="73"/>
      <c r="O380" s="74"/>
      <c r="P380" s="75"/>
      <c r="Q380" s="76"/>
      <c r="S380" s="110"/>
      <c r="T380" s="12"/>
      <c r="U380" s="12"/>
      <c r="V380" s="12"/>
      <c r="W380" s="19"/>
      <c r="X380" s="111"/>
    </row>
    <row r="381" spans="1:24" ht="25.5" hidden="1" outlineLevel="1">
      <c r="A381" s="60"/>
      <c r="B381" s="61"/>
      <c r="C381" s="62"/>
      <c r="D381" s="65"/>
      <c r="E381" s="44" t="s">
        <v>361</v>
      </c>
      <c r="F381" s="33">
        <f>ROUND(D377,0)</f>
        <v>29</v>
      </c>
      <c r="G381" s="42" t="s">
        <v>108</v>
      </c>
      <c r="H381" s="43"/>
      <c r="I381" s="43"/>
      <c r="J381" s="36">
        <v>5</v>
      </c>
      <c r="K381" s="37">
        <f t="shared" si="25"/>
        <v>145</v>
      </c>
      <c r="L381" s="31"/>
      <c r="M381" s="72"/>
      <c r="N381" s="73"/>
      <c r="O381" s="74"/>
      <c r="P381" s="75"/>
      <c r="Q381" s="76"/>
      <c r="S381" s="110"/>
      <c r="T381" s="12"/>
      <c r="U381" s="12"/>
      <c r="V381" s="12"/>
      <c r="W381" s="19"/>
      <c r="X381" s="111"/>
    </row>
    <row r="382" spans="1:24" ht="12.75" hidden="1" outlineLevel="1">
      <c r="A382" s="60"/>
      <c r="B382" s="61"/>
      <c r="C382" s="62"/>
      <c r="D382" s="65"/>
      <c r="E382" s="44"/>
      <c r="F382" s="33"/>
      <c r="G382" s="42"/>
      <c r="H382" s="43"/>
      <c r="I382" s="43"/>
      <c r="J382" s="36"/>
      <c r="K382" s="37">
        <f t="shared" si="25"/>
      </c>
      <c r="L382" s="31"/>
      <c r="M382" s="72"/>
      <c r="N382" s="73"/>
      <c r="O382" s="74"/>
      <c r="P382" s="75"/>
      <c r="Q382" s="76"/>
      <c r="S382" s="110"/>
      <c r="T382" s="12"/>
      <c r="U382" s="12"/>
      <c r="V382" s="12"/>
      <c r="W382" s="19"/>
      <c r="X382" s="111"/>
    </row>
    <row r="383" spans="1:24" ht="12.75" hidden="1" outlineLevel="1">
      <c r="A383" s="60"/>
      <c r="B383" s="61"/>
      <c r="C383" s="62"/>
      <c r="D383" s="65"/>
      <c r="E383" s="44" t="s">
        <v>234</v>
      </c>
      <c r="F383" s="33">
        <f>+F362</f>
        <v>81</v>
      </c>
      <c r="G383" s="42" t="s">
        <v>108</v>
      </c>
      <c r="H383" s="43"/>
      <c r="I383" s="43"/>
      <c r="J383" s="36">
        <v>2.93</v>
      </c>
      <c r="K383" s="37">
        <f t="shared" si="25"/>
        <v>237.33</v>
      </c>
      <c r="L383" s="31" t="s">
        <v>235</v>
      </c>
      <c r="M383" s="72"/>
      <c r="N383" s="73"/>
      <c r="O383" s="74"/>
      <c r="P383" s="75">
        <f>+IF(M383="item",O383,IF(M383&lt;&gt;0,M383*O383,""))</f>
      </c>
      <c r="Q383" s="76"/>
      <c r="S383" s="110"/>
      <c r="T383" s="12"/>
      <c r="U383" s="12"/>
      <c r="V383" s="12"/>
      <c r="W383" s="19"/>
      <c r="X383" s="111"/>
    </row>
    <row r="384" spans="1:24" ht="12.75" hidden="1" outlineLevel="1">
      <c r="A384" s="60"/>
      <c r="B384" s="61"/>
      <c r="C384" s="62"/>
      <c r="D384" s="65"/>
      <c r="E384" s="44"/>
      <c r="F384" s="33"/>
      <c r="G384" s="42"/>
      <c r="H384" s="43"/>
      <c r="I384" s="43"/>
      <c r="J384" s="36"/>
      <c r="K384" s="37">
        <f t="shared" si="25"/>
      </c>
      <c r="L384" s="31"/>
      <c r="M384" s="72"/>
      <c r="N384" s="73"/>
      <c r="O384" s="74"/>
      <c r="P384" s="75">
        <f>+IF(M384="item",O384,IF(M384&lt;&gt;0,M384*O384,""))</f>
      </c>
      <c r="Q384" s="76"/>
      <c r="S384" s="110"/>
      <c r="T384" s="12"/>
      <c r="U384" s="12"/>
      <c r="V384" s="12"/>
      <c r="W384" s="19"/>
      <c r="X384" s="111"/>
    </row>
    <row r="385" spans="1:24" ht="12.75" hidden="1" outlineLevel="1">
      <c r="A385" s="60"/>
      <c r="B385" s="61"/>
      <c r="C385" s="62"/>
      <c r="D385" s="65"/>
      <c r="E385" s="44" t="s">
        <v>237</v>
      </c>
      <c r="F385" s="33" t="s">
        <v>1</v>
      </c>
      <c r="G385" s="42"/>
      <c r="H385" s="43"/>
      <c r="I385" s="43"/>
      <c r="J385" s="36">
        <v>100</v>
      </c>
      <c r="K385" s="37">
        <f t="shared" si="25"/>
        <v>100</v>
      </c>
      <c r="L385" s="31"/>
      <c r="M385" s="72"/>
      <c r="N385" s="73"/>
      <c r="O385" s="74"/>
      <c r="P385" s="75">
        <f>+IF(M385="item",O385,IF(M385&lt;&gt;0,M385*O385,""))</f>
      </c>
      <c r="Q385" s="76"/>
      <c r="S385" s="110"/>
      <c r="T385" s="12"/>
      <c r="U385" s="12"/>
      <c r="V385" s="12"/>
      <c r="W385" s="19"/>
      <c r="X385" s="111"/>
    </row>
    <row r="386" spans="1:24" ht="12.75" hidden="1" outlineLevel="1">
      <c r="A386" s="60"/>
      <c r="B386" s="61"/>
      <c r="C386" s="62"/>
      <c r="D386" s="65"/>
      <c r="E386" s="44"/>
      <c r="F386" s="33"/>
      <c r="G386" s="42"/>
      <c r="H386" s="43"/>
      <c r="I386" s="43"/>
      <c r="J386" s="36"/>
      <c r="K386" s="37">
        <f t="shared" si="25"/>
      </c>
      <c r="L386" s="31"/>
      <c r="M386" s="72"/>
      <c r="N386" s="73"/>
      <c r="O386" s="74"/>
      <c r="P386" s="75"/>
      <c r="Q386" s="76"/>
      <c r="S386" s="110"/>
      <c r="T386" s="12"/>
      <c r="U386" s="12"/>
      <c r="V386" s="12"/>
      <c r="W386" s="19"/>
      <c r="X386" s="111"/>
    </row>
    <row r="387" spans="1:24" ht="12.75" hidden="1" outlineLevel="1">
      <c r="A387" s="60"/>
      <c r="B387" s="61"/>
      <c r="C387" s="62"/>
      <c r="D387" s="65"/>
      <c r="E387" s="44" t="s">
        <v>355</v>
      </c>
      <c r="F387" s="33">
        <v>50</v>
      </c>
      <c r="G387" s="42" t="s">
        <v>108</v>
      </c>
      <c r="H387" s="43"/>
      <c r="I387" s="43"/>
      <c r="J387" s="36">
        <v>4.27</v>
      </c>
      <c r="K387" s="37">
        <f t="shared" si="25"/>
        <v>213.49999999999997</v>
      </c>
      <c r="L387" s="31"/>
      <c r="M387" s="72"/>
      <c r="N387" s="73"/>
      <c r="O387" s="74"/>
      <c r="P387" s="75"/>
      <c r="Q387" s="76"/>
      <c r="S387" s="110"/>
      <c r="T387" s="12"/>
      <c r="U387" s="12"/>
      <c r="V387" s="12"/>
      <c r="W387" s="19"/>
      <c r="X387" s="111"/>
    </row>
    <row r="388" spans="1:24" ht="12.75" hidden="1" outlineLevel="1">
      <c r="A388" s="60"/>
      <c r="B388" s="61"/>
      <c r="C388" s="62"/>
      <c r="D388" s="65"/>
      <c r="E388" s="44"/>
      <c r="F388" s="33"/>
      <c r="G388" s="42"/>
      <c r="H388" s="43"/>
      <c r="I388" s="43"/>
      <c r="J388" s="36">
        <f>IF(+I388+H388&gt;0,I388+(H388*labour),"")</f>
      </c>
      <c r="K388" s="37">
        <f>+IF(F388="item",J388,IF(F388&lt;&gt;0,F388*J388,""))</f>
      </c>
      <c r="L388" s="31"/>
      <c r="M388" s="72"/>
      <c r="N388" s="73"/>
      <c r="O388" s="74"/>
      <c r="P388" s="75"/>
      <c r="Q388" s="76"/>
      <c r="S388" s="110"/>
      <c r="T388" s="12"/>
      <c r="U388" s="12"/>
      <c r="V388" s="12"/>
      <c r="W388" s="19"/>
      <c r="X388" s="111"/>
    </row>
    <row r="389" spans="1:24" ht="12.75" hidden="1" outlineLevel="1">
      <c r="A389" s="60"/>
      <c r="B389" s="61"/>
      <c r="C389" s="62"/>
      <c r="D389" s="65"/>
      <c r="E389" s="44" t="s">
        <v>358</v>
      </c>
      <c r="F389" s="33" t="s">
        <v>1</v>
      </c>
      <c r="G389" s="42"/>
      <c r="H389" s="43">
        <v>8</v>
      </c>
      <c r="I389" s="43">
        <v>200</v>
      </c>
      <c r="J389" s="36">
        <f>IF(+I389+H389&gt;0,I389+(H389*labour),"")</f>
        <v>440</v>
      </c>
      <c r="K389" s="37">
        <f>+IF(F389="item",J389,IF(F389&lt;&gt;0,F389*J389,""))</f>
        <v>440</v>
      </c>
      <c r="L389" s="31"/>
      <c r="M389" s="72"/>
      <c r="N389" s="73"/>
      <c r="O389" s="74"/>
      <c r="P389" s="75"/>
      <c r="Q389" s="76"/>
      <c r="S389" s="110"/>
      <c r="T389" s="12"/>
      <c r="U389" s="12"/>
      <c r="V389" s="12"/>
      <c r="W389" s="19"/>
      <c r="X389" s="111"/>
    </row>
    <row r="390" spans="1:24" ht="12.75" hidden="1" outlineLevel="1">
      <c r="A390" s="60"/>
      <c r="B390" s="61"/>
      <c r="C390" s="62"/>
      <c r="D390" s="65"/>
      <c r="E390" s="44"/>
      <c r="F390" s="33"/>
      <c r="G390" s="42"/>
      <c r="H390" s="43"/>
      <c r="I390" s="43"/>
      <c r="J390" s="36">
        <f>IF(+I390+H390&gt;0,I390+(H390*labour),"")</f>
      </c>
      <c r="K390" s="37">
        <f>+IF(F390="item",J390,IF(F390&lt;&gt;0,F390*J390,""))</f>
      </c>
      <c r="L390" s="31"/>
      <c r="M390" s="72"/>
      <c r="N390" s="73"/>
      <c r="O390" s="74"/>
      <c r="P390" s="75"/>
      <c r="Q390" s="76"/>
      <c r="S390" s="110"/>
      <c r="T390" s="12"/>
      <c r="U390" s="12"/>
      <c r="V390" s="12"/>
      <c r="W390" s="19"/>
      <c r="X390" s="111"/>
    </row>
    <row r="391" spans="1:24" ht="12.75" hidden="1" outlineLevel="1">
      <c r="A391" s="60"/>
      <c r="B391" s="61"/>
      <c r="C391" s="62"/>
      <c r="D391" s="65"/>
      <c r="E391" s="44" t="s">
        <v>360</v>
      </c>
      <c r="F391" s="33" t="s">
        <v>1</v>
      </c>
      <c r="G391" s="42"/>
      <c r="H391" s="43">
        <v>16</v>
      </c>
      <c r="I391" s="43">
        <v>100</v>
      </c>
      <c r="J391" s="36">
        <f>IF(+I391+H391&gt;0,I391+(H391*labour),"")</f>
        <v>580</v>
      </c>
      <c r="K391" s="37">
        <f t="shared" si="25"/>
        <v>580</v>
      </c>
      <c r="L391" s="31"/>
      <c r="M391" s="72"/>
      <c r="N391" s="73"/>
      <c r="O391" s="74"/>
      <c r="P391" s="75"/>
      <c r="Q391" s="76"/>
      <c r="S391" s="110"/>
      <c r="T391" s="12"/>
      <c r="U391" s="12"/>
      <c r="V391" s="12"/>
      <c r="W391" s="19"/>
      <c r="X391" s="111"/>
    </row>
    <row r="392" spans="1:24" ht="12.75" hidden="1" outlineLevel="1">
      <c r="A392" s="60"/>
      <c r="B392" s="61"/>
      <c r="C392" s="62"/>
      <c r="D392" s="65"/>
      <c r="E392" s="44"/>
      <c r="F392" s="33"/>
      <c r="G392" s="42"/>
      <c r="H392" s="43"/>
      <c r="I392" s="43"/>
      <c r="J392" s="36"/>
      <c r="K392" s="37"/>
      <c r="L392" s="31"/>
      <c r="M392" s="72"/>
      <c r="N392" s="73"/>
      <c r="O392" s="74"/>
      <c r="P392" s="75"/>
      <c r="Q392" s="76"/>
      <c r="S392" s="110"/>
      <c r="T392" s="12"/>
      <c r="U392" s="12"/>
      <c r="V392" s="12"/>
      <c r="W392" s="19"/>
      <c r="X392" s="111"/>
    </row>
    <row r="393" spans="1:24" ht="12.75" hidden="1" outlineLevel="1">
      <c r="A393" s="60"/>
      <c r="B393" s="61"/>
      <c r="C393" s="62"/>
      <c r="D393" s="65"/>
      <c r="E393" s="38" t="s">
        <v>362</v>
      </c>
      <c r="F393" s="33">
        <v>10</v>
      </c>
      <c r="G393" s="34" t="s">
        <v>363</v>
      </c>
      <c r="H393" s="39"/>
      <c r="I393" s="164"/>
      <c r="J393" s="39">
        <f>SUM(K329:K392)</f>
        <v>4419.3375</v>
      </c>
      <c r="K393" s="37">
        <f>+J393*F393%</f>
        <v>441.93375</v>
      </c>
      <c r="L393" s="31"/>
      <c r="M393" s="72"/>
      <c r="N393" s="73"/>
      <c r="O393" s="74"/>
      <c r="P393" s="75"/>
      <c r="Q393" s="76"/>
      <c r="S393" s="110"/>
      <c r="T393" s="12"/>
      <c r="U393" s="12"/>
      <c r="V393" s="12"/>
      <c r="W393" s="19"/>
      <c r="X393" s="111"/>
    </row>
    <row r="394" spans="1:24" ht="12.75" hidden="1" outlineLevel="1">
      <c r="A394" s="60"/>
      <c r="B394" s="61"/>
      <c r="C394" s="62"/>
      <c r="D394" s="65"/>
      <c r="E394" s="44"/>
      <c r="F394" s="33"/>
      <c r="G394" s="42"/>
      <c r="H394" s="43"/>
      <c r="I394" s="43"/>
      <c r="J394" s="36"/>
      <c r="K394" s="37">
        <f t="shared" si="25"/>
      </c>
      <c r="L394" s="31"/>
      <c r="M394" s="72"/>
      <c r="N394" s="73"/>
      <c r="O394" s="74"/>
      <c r="P394" s="75"/>
      <c r="Q394" s="76"/>
      <c r="S394" s="110"/>
      <c r="T394" s="12"/>
      <c r="U394" s="12"/>
      <c r="V394" s="12"/>
      <c r="W394" s="19"/>
      <c r="X394" s="111"/>
    </row>
    <row r="395" spans="1:24" ht="12.75" collapsed="1">
      <c r="A395" s="60"/>
      <c r="B395" s="61"/>
      <c r="C395" s="62"/>
      <c r="D395" s="65"/>
      <c r="E395" s="44"/>
      <c r="F395" s="33"/>
      <c r="G395" s="42"/>
      <c r="H395" s="43"/>
      <c r="I395" s="43"/>
      <c r="J395" s="36"/>
      <c r="K395" s="37"/>
      <c r="L395" s="31"/>
      <c r="M395" s="72"/>
      <c r="N395" s="73"/>
      <c r="O395" s="74"/>
      <c r="P395" s="75">
        <f>+IF(M395="item",O395,IF(M395&lt;&gt;0,M395*O395,""))</f>
      </c>
      <c r="Q395" s="76"/>
      <c r="S395" s="110"/>
      <c r="T395" s="12"/>
      <c r="U395" s="12"/>
      <c r="V395" s="12"/>
      <c r="W395" s="19"/>
      <c r="X395" s="111"/>
    </row>
    <row r="396" spans="1:24" ht="12.75">
      <c r="A396" s="60"/>
      <c r="B396" s="61"/>
      <c r="C396" s="62"/>
      <c r="D396" s="65"/>
      <c r="E396" s="77"/>
      <c r="F396" s="33"/>
      <c r="G396" s="42"/>
      <c r="H396" s="43"/>
      <c r="I396" s="43"/>
      <c r="J396" s="36"/>
      <c r="K396" s="37">
        <f>+IF(F396="item",J396,IF(F396&lt;&gt;0,F396*J396,""))</f>
      </c>
      <c r="L396" s="31"/>
      <c r="M396" s="33"/>
      <c r="N396" s="42"/>
      <c r="O396" s="36"/>
      <c r="P396" s="37"/>
      <c r="Q396" s="54"/>
      <c r="S396" s="110"/>
      <c r="T396" s="12"/>
      <c r="U396" s="12"/>
      <c r="V396" s="12"/>
      <c r="W396" s="19"/>
      <c r="X396" s="111"/>
    </row>
    <row r="397" spans="1:24" ht="15.75">
      <c r="A397" s="60"/>
      <c r="B397" s="61"/>
      <c r="C397" s="64"/>
      <c r="D397" s="63"/>
      <c r="E397" s="78" t="s">
        <v>144</v>
      </c>
      <c r="F397" s="79"/>
      <c r="G397" s="80"/>
      <c r="H397" s="81"/>
      <c r="I397" s="81"/>
      <c r="J397" s="82">
        <f>IF(+I397+H397&gt;0,I397+(H397*labour),"")</f>
      </c>
      <c r="K397" s="83">
        <f>+IF(F397="item",J397,IF(F397&lt;&gt;0,F397*J397,""))</f>
      </c>
      <c r="L397" s="84"/>
      <c r="M397" s="79"/>
      <c r="N397" s="80"/>
      <c r="O397" s="82"/>
      <c r="P397" s="83">
        <f>+IF(M397="item",O397,IF(M397&lt;&gt;0,M397*O397,""))</f>
      </c>
      <c r="Q397" s="85"/>
      <c r="R397" s="89"/>
      <c r="S397" s="117"/>
      <c r="T397" s="118"/>
      <c r="U397" s="118"/>
      <c r="V397" s="118"/>
      <c r="W397" s="119"/>
      <c r="X397" s="120"/>
    </row>
    <row r="398" spans="1:24" ht="12.75">
      <c r="A398" s="60"/>
      <c r="B398" s="61"/>
      <c r="C398" s="62"/>
      <c r="D398" s="65"/>
      <c r="E398" s="77"/>
      <c r="F398" s="33"/>
      <c r="G398" s="42"/>
      <c r="H398" s="43"/>
      <c r="I398" s="43"/>
      <c r="J398" s="36"/>
      <c r="K398" s="37">
        <f>+IF(F398="item",J398,IF(F398&lt;&gt;0,F398*J398,""))</f>
      </c>
      <c r="L398" s="31"/>
      <c r="M398" s="33"/>
      <c r="N398" s="42"/>
      <c r="O398" s="36"/>
      <c r="P398" s="37"/>
      <c r="Q398" s="54"/>
      <c r="S398" s="110"/>
      <c r="T398" s="12"/>
      <c r="U398" s="12"/>
      <c r="V398" s="12"/>
      <c r="W398" s="19"/>
      <c r="X398" s="111"/>
    </row>
    <row r="399" spans="1:24" ht="25.5">
      <c r="A399" s="60"/>
      <c r="B399" s="61"/>
      <c r="C399" s="62"/>
      <c r="D399" s="65"/>
      <c r="E399" s="77" t="s">
        <v>145</v>
      </c>
      <c r="F399" s="33"/>
      <c r="G399" s="42"/>
      <c r="H399" s="43"/>
      <c r="I399" s="43"/>
      <c r="J399" s="36"/>
      <c r="K399" s="53">
        <f>SUM(K401:K406)</f>
        <v>4895.5</v>
      </c>
      <c r="L399" s="31" t="s">
        <v>365</v>
      </c>
      <c r="M399" s="72"/>
      <c r="N399" s="73"/>
      <c r="O399" s="74"/>
      <c r="P399" s="75"/>
      <c r="Q399" s="76"/>
      <c r="S399" s="110"/>
      <c r="T399" s="12"/>
      <c r="U399" s="12"/>
      <c r="V399" s="12"/>
      <c r="W399" s="19"/>
      <c r="X399" s="111"/>
    </row>
    <row r="400" spans="1:24" ht="12.75">
      <c r="A400" s="60"/>
      <c r="B400" s="61"/>
      <c r="C400" s="62"/>
      <c r="D400" s="65"/>
      <c r="E400" s="77"/>
      <c r="F400" s="33"/>
      <c r="G400" s="42"/>
      <c r="H400" s="43"/>
      <c r="I400" s="43"/>
      <c r="J400" s="36"/>
      <c r="K400" s="37">
        <f>+IF(F400="item",J400,IF(F400&lt;&gt;0,F400*J400,""))</f>
      </c>
      <c r="L400" s="31"/>
      <c r="M400" s="72"/>
      <c r="N400" s="73"/>
      <c r="O400" s="74"/>
      <c r="P400" s="75"/>
      <c r="Q400" s="76"/>
      <c r="S400" s="110"/>
      <c r="T400" s="12"/>
      <c r="U400" s="12"/>
      <c r="V400" s="12"/>
      <c r="W400" s="19"/>
      <c r="X400" s="111"/>
    </row>
    <row r="401" spans="1:24" ht="12.75" hidden="1" outlineLevel="1">
      <c r="A401" s="60"/>
      <c r="B401" s="61"/>
      <c r="C401" s="62"/>
      <c r="D401" s="65"/>
      <c r="E401" s="44" t="s">
        <v>305</v>
      </c>
      <c r="F401" s="33" t="s">
        <v>1</v>
      </c>
      <c r="G401" s="42"/>
      <c r="H401" s="43"/>
      <c r="I401" s="43"/>
      <c r="J401" s="36">
        <f>ihybridearly</f>
        <v>2255.5</v>
      </c>
      <c r="K401" s="37">
        <f>+IF(F401="item",J401,IF(F401&lt;&gt;0,F401*J401,""))</f>
        <v>2255.5</v>
      </c>
      <c r="L401" s="31"/>
      <c r="M401" s="72"/>
      <c r="N401" s="73"/>
      <c r="O401" s="74"/>
      <c r="P401" s="75"/>
      <c r="Q401" s="76"/>
      <c r="S401" s="110"/>
      <c r="T401" s="12"/>
      <c r="U401" s="12"/>
      <c r="V401" s="12"/>
      <c r="W401" s="19"/>
      <c r="X401" s="111"/>
    </row>
    <row r="402" spans="1:24" ht="12.75" hidden="1" outlineLevel="1">
      <c r="A402" s="60"/>
      <c r="B402" s="61"/>
      <c r="C402" s="62"/>
      <c r="D402" s="65"/>
      <c r="E402" s="77"/>
      <c r="F402" s="33"/>
      <c r="G402" s="42"/>
      <c r="H402" s="43"/>
      <c r="I402" s="43"/>
      <c r="J402" s="36"/>
      <c r="K402" s="37">
        <f>+IF(F402="item",J402,IF(F402&lt;&gt;0,F402*J402,""))</f>
      </c>
      <c r="L402" s="31"/>
      <c r="M402" s="72"/>
      <c r="N402" s="73"/>
      <c r="O402" s="74"/>
      <c r="P402" s="75"/>
      <c r="Q402" s="76"/>
      <c r="S402" s="110"/>
      <c r="T402" s="12"/>
      <c r="U402" s="12"/>
      <c r="V402" s="12"/>
      <c r="W402" s="19"/>
      <c r="X402" s="111"/>
    </row>
    <row r="403" spans="1:24" ht="12.75" hidden="1" outlineLevel="1">
      <c r="A403" s="60"/>
      <c r="B403" s="61"/>
      <c r="C403" s="62"/>
      <c r="D403" s="65"/>
      <c r="E403" s="44" t="s">
        <v>151</v>
      </c>
      <c r="F403" s="33" t="s">
        <v>1</v>
      </c>
      <c r="G403" s="42"/>
      <c r="H403" s="43"/>
      <c r="I403" s="43"/>
      <c r="J403" s="36">
        <f>ihybridfitearly</f>
        <v>2640</v>
      </c>
      <c r="K403" s="37">
        <f>+IF(F403="item",J403,IF(F403&lt;&gt;0,F403*J403,""))</f>
        <v>2640</v>
      </c>
      <c r="L403" s="31"/>
      <c r="M403" s="72"/>
      <c r="N403" s="73"/>
      <c r="O403" s="74"/>
      <c r="P403" s="75"/>
      <c r="Q403" s="76"/>
      <c r="S403" s="110"/>
      <c r="T403" s="12"/>
      <c r="U403" s="12"/>
      <c r="V403" s="12"/>
      <c r="W403" s="19"/>
      <c r="X403" s="111"/>
    </row>
    <row r="404" spans="1:24" ht="12.75" hidden="1" outlineLevel="1">
      <c r="A404" s="60"/>
      <c r="B404" s="61"/>
      <c r="C404" s="62"/>
      <c r="D404" s="65"/>
      <c r="E404" s="44"/>
      <c r="F404" s="33"/>
      <c r="G404" s="42"/>
      <c r="H404" s="43"/>
      <c r="I404" s="43"/>
      <c r="J404" s="36"/>
      <c r="K404" s="37"/>
      <c r="L404" s="31"/>
      <c r="M404" s="72"/>
      <c r="N404" s="73"/>
      <c r="O404" s="74"/>
      <c r="P404" s="75"/>
      <c r="Q404" s="76"/>
      <c r="S404" s="110"/>
      <c r="T404" s="12"/>
      <c r="U404" s="12"/>
      <c r="V404" s="12"/>
      <c r="W404" s="19"/>
      <c r="X404" s="111"/>
    </row>
    <row r="405" spans="1:24" ht="12.75" hidden="1" outlineLevel="1">
      <c r="A405" s="60"/>
      <c r="B405" s="61"/>
      <c r="C405" s="62"/>
      <c r="D405" s="65"/>
      <c r="E405" s="44"/>
      <c r="F405" s="33"/>
      <c r="G405" s="42"/>
      <c r="H405" s="43"/>
      <c r="I405" s="43"/>
      <c r="J405" s="36"/>
      <c r="K405" s="37"/>
      <c r="L405" s="31"/>
      <c r="M405" s="72"/>
      <c r="N405" s="73"/>
      <c r="O405" s="74"/>
      <c r="P405" s="75"/>
      <c r="Q405" s="76"/>
      <c r="S405" s="110"/>
      <c r="T405" s="12"/>
      <c r="U405" s="12"/>
      <c r="V405" s="12"/>
      <c r="W405" s="19"/>
      <c r="X405" s="111"/>
    </row>
    <row r="406" spans="1:24" ht="12.75" hidden="1" outlineLevel="1">
      <c r="A406" s="60"/>
      <c r="B406" s="61"/>
      <c r="C406" s="62"/>
      <c r="D406" s="65"/>
      <c r="E406" s="44"/>
      <c r="F406" s="33"/>
      <c r="G406" s="42"/>
      <c r="H406" s="43"/>
      <c r="I406" s="43"/>
      <c r="J406" s="36"/>
      <c r="K406" s="37"/>
      <c r="L406" s="31"/>
      <c r="M406" s="72"/>
      <c r="N406" s="73"/>
      <c r="O406" s="74"/>
      <c r="P406" s="75"/>
      <c r="Q406" s="76"/>
      <c r="S406" s="110"/>
      <c r="T406" s="12"/>
      <c r="U406" s="12"/>
      <c r="V406" s="12"/>
      <c r="W406" s="19"/>
      <c r="X406" s="111"/>
    </row>
    <row r="407" spans="1:24" ht="12.75" hidden="1" outlineLevel="1">
      <c r="A407" s="60"/>
      <c r="B407" s="61"/>
      <c r="C407" s="62"/>
      <c r="D407" s="65"/>
      <c r="E407" s="44"/>
      <c r="F407" s="33"/>
      <c r="G407" s="42"/>
      <c r="H407" s="43"/>
      <c r="I407" s="43"/>
      <c r="J407" s="36"/>
      <c r="K407" s="37"/>
      <c r="L407" s="31"/>
      <c r="M407" s="72"/>
      <c r="N407" s="73"/>
      <c r="O407" s="74"/>
      <c r="P407" s="75"/>
      <c r="Q407" s="76"/>
      <c r="S407" s="110"/>
      <c r="T407" s="12"/>
      <c r="U407" s="12"/>
      <c r="V407" s="12"/>
      <c r="W407" s="19"/>
      <c r="X407" s="111"/>
    </row>
    <row r="408" spans="1:24" ht="12.75" hidden="1" outlineLevel="1">
      <c r="A408" s="60"/>
      <c r="B408" s="61"/>
      <c r="C408" s="62"/>
      <c r="D408" s="65"/>
      <c r="E408" s="77"/>
      <c r="F408" s="33"/>
      <c r="G408" s="42"/>
      <c r="H408" s="43"/>
      <c r="I408" s="43"/>
      <c r="J408" s="36"/>
      <c r="K408" s="37">
        <f aca="true" t="shared" si="27" ref="K408:K414">+IF(F408="item",J408,IF(F408&lt;&gt;0,F408*J408,""))</f>
      </c>
      <c r="L408" s="31"/>
      <c r="M408" s="72"/>
      <c r="N408" s="73"/>
      <c r="O408" s="74"/>
      <c r="P408" s="75"/>
      <c r="Q408" s="76"/>
      <c r="S408" s="110"/>
      <c r="T408" s="12"/>
      <c r="U408" s="12"/>
      <c r="V408" s="12"/>
      <c r="W408" s="19"/>
      <c r="X408" s="111"/>
    </row>
    <row r="409" spans="1:24" ht="12.75" collapsed="1">
      <c r="A409" s="60"/>
      <c r="B409" s="61"/>
      <c r="C409" s="62"/>
      <c r="D409" s="65"/>
      <c r="E409" s="77"/>
      <c r="F409" s="33"/>
      <c r="G409" s="42"/>
      <c r="H409" s="43"/>
      <c r="I409" s="43"/>
      <c r="J409" s="36"/>
      <c r="K409" s="37">
        <f t="shared" si="27"/>
      </c>
      <c r="L409" s="31"/>
      <c r="M409" s="72"/>
      <c r="N409" s="73"/>
      <c r="O409" s="74"/>
      <c r="P409" s="75"/>
      <c r="Q409" s="76"/>
      <c r="S409" s="110"/>
      <c r="T409" s="12"/>
      <c r="U409" s="12"/>
      <c r="V409" s="12"/>
      <c r="W409" s="19"/>
      <c r="X409" s="111"/>
    </row>
    <row r="410" spans="1:24" ht="38.25">
      <c r="A410" s="60"/>
      <c r="B410" s="61"/>
      <c r="C410" s="62"/>
      <c r="D410" s="65"/>
      <c r="E410" s="77" t="s">
        <v>146</v>
      </c>
      <c r="F410" s="33"/>
      <c r="G410" s="42"/>
      <c r="H410" s="43"/>
      <c r="I410" s="43"/>
      <c r="J410" s="36"/>
      <c r="K410" s="53">
        <f>SUM(K411:K412)</f>
        <v>15600</v>
      </c>
      <c r="L410" s="31" t="s">
        <v>268</v>
      </c>
      <c r="M410" s="72"/>
      <c r="N410" s="73"/>
      <c r="O410" s="74"/>
      <c r="P410" s="75"/>
      <c r="Q410" s="76"/>
      <c r="S410" s="110"/>
      <c r="T410" s="12"/>
      <c r="U410" s="12"/>
      <c r="V410" s="12"/>
      <c r="W410" s="19"/>
      <c r="X410" s="111"/>
    </row>
    <row r="411" spans="1:24" ht="12.75" hidden="1" outlineLevel="1">
      <c r="A411" s="60"/>
      <c r="B411" s="61"/>
      <c r="C411" s="62"/>
      <c r="D411" s="65"/>
      <c r="E411" s="77"/>
      <c r="F411" s="33"/>
      <c r="G411" s="42"/>
      <c r="H411" s="43"/>
      <c r="I411" s="43"/>
      <c r="J411" s="36"/>
      <c r="K411" s="37">
        <f t="shared" si="27"/>
      </c>
      <c r="L411" s="31"/>
      <c r="M411" s="72"/>
      <c r="N411" s="73"/>
      <c r="O411" s="74"/>
      <c r="P411" s="75"/>
      <c r="Q411" s="76"/>
      <c r="S411" s="113" t="s">
        <v>257</v>
      </c>
      <c r="T411" s="12"/>
      <c r="U411" s="12"/>
      <c r="V411" s="12"/>
      <c r="W411" s="19"/>
      <c r="X411" s="111"/>
    </row>
    <row r="412" spans="1:24" ht="12.75" hidden="1" outlineLevel="1">
      <c r="A412" s="60"/>
      <c r="B412" s="61"/>
      <c r="C412" s="62"/>
      <c r="D412" s="65"/>
      <c r="E412" s="44" t="s">
        <v>158</v>
      </c>
      <c r="F412" s="33">
        <v>1</v>
      </c>
      <c r="G412" s="42" t="s">
        <v>8</v>
      </c>
      <c r="H412" s="43"/>
      <c r="I412" s="43"/>
      <c r="J412" s="36">
        <f>13000*1.2</f>
        <v>15600</v>
      </c>
      <c r="K412" s="37">
        <f t="shared" si="27"/>
        <v>15600</v>
      </c>
      <c r="L412" s="31" t="s">
        <v>171</v>
      </c>
      <c r="M412" s="72"/>
      <c r="N412" s="73"/>
      <c r="O412" s="74"/>
      <c r="P412" s="75"/>
      <c r="Q412" s="76"/>
      <c r="S412" s="110" t="str">
        <f>+E412</f>
        <v>Typical installation</v>
      </c>
      <c r="T412" s="114">
        <f>+K412</f>
        <v>15600</v>
      </c>
      <c r="U412" s="12"/>
      <c r="V412" s="12">
        <v>60</v>
      </c>
      <c r="W412" s="19">
        <f>ROUND(+IF(V412&gt;0,T412/V412,""),2)</f>
        <v>260</v>
      </c>
      <c r="X412" s="111"/>
    </row>
    <row r="413" spans="1:24" ht="12.75" hidden="1" outlineLevel="1">
      <c r="A413" s="60"/>
      <c r="B413" s="61"/>
      <c r="C413" s="62"/>
      <c r="D413" s="65"/>
      <c r="E413" s="77"/>
      <c r="F413" s="33"/>
      <c r="G413" s="42"/>
      <c r="H413" s="43"/>
      <c r="I413" s="43"/>
      <c r="J413" s="36"/>
      <c r="K413" s="37">
        <f t="shared" si="27"/>
      </c>
      <c r="L413" s="31" t="s">
        <v>172</v>
      </c>
      <c r="M413" s="72"/>
      <c r="N413" s="73"/>
      <c r="O413" s="74"/>
      <c r="P413" s="75"/>
      <c r="Q413" s="76"/>
      <c r="S413" s="110"/>
      <c r="T413" s="12"/>
      <c r="U413" s="12"/>
      <c r="V413" s="12"/>
      <c r="W413" s="19"/>
      <c r="X413" s="111"/>
    </row>
    <row r="414" spans="1:24" ht="12.75" hidden="1" outlineLevel="1">
      <c r="A414" s="60"/>
      <c r="B414" s="61"/>
      <c r="C414" s="62"/>
      <c r="D414" s="65"/>
      <c r="E414" s="77"/>
      <c r="F414" s="33"/>
      <c r="G414" s="42"/>
      <c r="H414" s="43"/>
      <c r="I414" s="43"/>
      <c r="J414" s="36"/>
      <c r="K414" s="37">
        <f t="shared" si="27"/>
      </c>
      <c r="L414" s="31"/>
      <c r="M414" s="72"/>
      <c r="N414" s="73"/>
      <c r="O414" s="74"/>
      <c r="P414" s="75"/>
      <c r="Q414" s="76"/>
      <c r="S414" s="113" t="s">
        <v>251</v>
      </c>
      <c r="T414" s="12"/>
      <c r="U414" s="12"/>
      <c r="V414" s="12"/>
      <c r="W414" s="19"/>
      <c r="X414" s="111"/>
    </row>
    <row r="415" spans="1:24" ht="12.75" hidden="1" outlineLevel="1">
      <c r="A415" s="60"/>
      <c r="B415" s="61"/>
      <c r="C415" s="62"/>
      <c r="D415" s="65"/>
      <c r="E415" s="77"/>
      <c r="F415" s="33"/>
      <c r="G415" s="42"/>
      <c r="H415" s="43"/>
      <c r="I415" s="43"/>
      <c r="J415" s="36"/>
      <c r="K415" s="37"/>
      <c r="L415" s="31"/>
      <c r="M415" s="72"/>
      <c r="N415" s="73"/>
      <c r="O415" s="74"/>
      <c r="P415" s="75"/>
      <c r="Q415" s="76"/>
      <c r="S415" s="110" t="s">
        <v>267</v>
      </c>
      <c r="T415" s="12"/>
      <c r="U415" s="12" t="s">
        <v>269</v>
      </c>
      <c r="V415" s="12">
        <v>1</v>
      </c>
      <c r="W415" s="19"/>
      <c r="X415" s="111"/>
    </row>
    <row r="416" spans="1:24" ht="12.75" hidden="1" outlineLevel="1">
      <c r="A416" s="60"/>
      <c r="B416" s="61"/>
      <c r="C416" s="62"/>
      <c r="D416" s="65"/>
      <c r="E416" s="77"/>
      <c r="F416" s="33"/>
      <c r="G416" s="42"/>
      <c r="H416" s="43"/>
      <c r="I416" s="43"/>
      <c r="J416" s="36"/>
      <c r="K416" s="37"/>
      <c r="L416" s="31"/>
      <c r="M416" s="72"/>
      <c r="N416" s="73"/>
      <c r="O416" s="74"/>
      <c r="P416" s="75"/>
      <c r="Q416" s="76"/>
      <c r="S416" s="110" t="s">
        <v>270</v>
      </c>
      <c r="T416" s="12"/>
      <c r="U416" s="12" t="s">
        <v>269</v>
      </c>
      <c r="V416" s="12" t="s">
        <v>269</v>
      </c>
      <c r="W416" s="19"/>
      <c r="X416" s="111"/>
    </row>
    <row r="417" spans="1:24" ht="12.75" hidden="1" outlineLevel="1">
      <c r="A417" s="60"/>
      <c r="B417" s="61"/>
      <c r="C417" s="62"/>
      <c r="D417" s="65"/>
      <c r="E417" s="77"/>
      <c r="F417" s="33"/>
      <c r="G417" s="42"/>
      <c r="H417" s="43"/>
      <c r="I417" s="43"/>
      <c r="J417" s="36"/>
      <c r="K417" s="37">
        <f>+IF(F417="item",J417,IF(F417&lt;&gt;0,F417*J417,""))</f>
      </c>
      <c r="L417" s="31"/>
      <c r="M417" s="72"/>
      <c r="N417" s="73"/>
      <c r="O417" s="74"/>
      <c r="P417" s="75"/>
      <c r="Q417" s="76"/>
      <c r="S417" s="110" t="s">
        <v>271</v>
      </c>
      <c r="T417" s="12"/>
      <c r="U417" s="12" t="s">
        <v>269</v>
      </c>
      <c r="V417" s="12" t="s">
        <v>269</v>
      </c>
      <c r="W417" s="19"/>
      <c r="X417" s="111"/>
    </row>
    <row r="418" spans="1:24" ht="12.75" collapsed="1">
      <c r="A418" s="60"/>
      <c r="B418" s="61"/>
      <c r="C418" s="62"/>
      <c r="D418" s="65"/>
      <c r="E418" s="77"/>
      <c r="F418" s="33"/>
      <c r="G418" s="42"/>
      <c r="H418" s="43"/>
      <c r="I418" s="43"/>
      <c r="J418" s="36"/>
      <c r="K418" s="37"/>
      <c r="L418" s="31"/>
      <c r="M418" s="72"/>
      <c r="N418" s="73"/>
      <c r="O418" s="74"/>
      <c r="P418" s="75"/>
      <c r="Q418" s="76"/>
      <c r="S418" s="110"/>
      <c r="T418" s="12"/>
      <c r="U418" s="12"/>
      <c r="V418" s="12"/>
      <c r="W418" s="19"/>
      <c r="X418" s="111"/>
    </row>
    <row r="419" spans="1:24" ht="12.75">
      <c r="A419" s="60"/>
      <c r="B419" s="61"/>
      <c r="C419" s="62"/>
      <c r="D419" s="65"/>
      <c r="E419" s="77"/>
      <c r="F419" s="33"/>
      <c r="G419" s="42"/>
      <c r="H419" s="43"/>
      <c r="I419" s="43"/>
      <c r="J419" s="36"/>
      <c r="K419" s="37"/>
      <c r="L419" s="31"/>
      <c r="M419" s="72"/>
      <c r="N419" s="73"/>
      <c r="O419" s="74"/>
      <c r="P419" s="75"/>
      <c r="Q419" s="76"/>
      <c r="S419" s="110"/>
      <c r="T419" s="12"/>
      <c r="U419" s="12"/>
      <c r="V419" s="12"/>
      <c r="W419" s="19"/>
      <c r="X419" s="111"/>
    </row>
    <row r="420" spans="1:24" ht="12.75">
      <c r="A420" s="60"/>
      <c r="B420" s="61"/>
      <c r="C420" s="62"/>
      <c r="D420" s="65"/>
      <c r="E420" s="77" t="s">
        <v>147</v>
      </c>
      <c r="F420" s="33"/>
      <c r="G420" s="42"/>
      <c r="H420" s="43"/>
      <c r="I420" s="43"/>
      <c r="J420" s="36"/>
      <c r="K420" s="53">
        <f>SUM(K422:K435)</f>
        <v>2757.2017</v>
      </c>
      <c r="L420" s="31" t="s">
        <v>148</v>
      </c>
      <c r="M420" s="72"/>
      <c r="N420" s="73"/>
      <c r="O420" s="74"/>
      <c r="P420" s="75"/>
      <c r="Q420" s="76"/>
      <c r="S420" s="110"/>
      <c r="T420" s="12"/>
      <c r="U420" s="12"/>
      <c r="V420" s="12"/>
      <c r="W420" s="112">
        <f>SUM(W421:W436)</f>
        <v>159.3</v>
      </c>
      <c r="X420" s="122"/>
    </row>
    <row r="421" spans="1:24" ht="25.5" hidden="1" outlineLevel="1">
      <c r="A421" s="60"/>
      <c r="B421" s="61"/>
      <c r="C421" s="62"/>
      <c r="D421" s="65"/>
      <c r="E421" s="77"/>
      <c r="F421" s="33"/>
      <c r="G421" s="42"/>
      <c r="H421" s="43"/>
      <c r="I421" s="43"/>
      <c r="J421" s="36"/>
      <c r="K421" s="37">
        <f aca="true" t="shared" si="28" ref="K421:K437">+IF(F421="item",J421,IF(F421&lt;&gt;0,F421*J421,""))</f>
      </c>
      <c r="L421" s="44" t="s">
        <v>155</v>
      </c>
      <c r="M421" s="72"/>
      <c r="N421" s="73"/>
      <c r="O421" s="74"/>
      <c r="P421" s="75"/>
      <c r="Q421" s="76"/>
      <c r="S421" s="113" t="s">
        <v>257</v>
      </c>
      <c r="T421" s="12"/>
      <c r="U421" s="12"/>
      <c r="V421" s="12"/>
      <c r="W421" s="19"/>
      <c r="X421" s="122"/>
    </row>
    <row r="422" spans="1:24" ht="12.75" hidden="1" outlineLevel="1">
      <c r="A422" s="60"/>
      <c r="B422" s="61"/>
      <c r="C422" s="62"/>
      <c r="D422" s="65"/>
      <c r="E422" s="44" t="s">
        <v>149</v>
      </c>
      <c r="F422" s="33">
        <v>1</v>
      </c>
      <c r="G422" s="42" t="s">
        <v>8</v>
      </c>
      <c r="H422" s="43"/>
      <c r="I422" s="43"/>
      <c r="J422" s="36">
        <f>595*1.2</f>
        <v>714</v>
      </c>
      <c r="K422" s="37">
        <f t="shared" si="28"/>
        <v>714</v>
      </c>
      <c r="L422" s="31"/>
      <c r="M422" s="72"/>
      <c r="N422" s="73"/>
      <c r="O422" s="74"/>
      <c r="P422" s="75"/>
      <c r="Q422" s="76"/>
      <c r="S422" s="110" t="str">
        <f>+E422</f>
        <v>Purchase stove - Stockton 5</v>
      </c>
      <c r="T422" s="114">
        <f>+K422</f>
        <v>714</v>
      </c>
      <c r="U422" s="12"/>
      <c r="V422" s="12">
        <v>20</v>
      </c>
      <c r="W422" s="19">
        <f>ROUND(+IF(V422&gt;0,T422/V422,""),2)</f>
        <v>35.7</v>
      </c>
      <c r="X422" s="122"/>
    </row>
    <row r="423" spans="1:24" ht="12.75" hidden="1" outlineLevel="1">
      <c r="A423" s="60"/>
      <c r="B423" s="61"/>
      <c r="C423" s="62"/>
      <c r="D423" s="65"/>
      <c r="E423" s="44"/>
      <c r="F423" s="33"/>
      <c r="G423" s="42"/>
      <c r="H423" s="43"/>
      <c r="I423" s="43"/>
      <c r="J423" s="36"/>
      <c r="K423" s="37">
        <f t="shared" si="28"/>
      </c>
      <c r="L423" s="31"/>
      <c r="M423" s="72"/>
      <c r="N423" s="73"/>
      <c r="O423" s="74"/>
      <c r="P423" s="75"/>
      <c r="Q423" s="76"/>
      <c r="S423" s="110"/>
      <c r="T423" s="12"/>
      <c r="U423" s="12"/>
      <c r="V423" s="12"/>
      <c r="W423" s="19"/>
      <c r="X423" s="111"/>
    </row>
    <row r="424" spans="1:24" ht="12.75" hidden="1" outlineLevel="1">
      <c r="A424" s="60"/>
      <c r="B424" s="61"/>
      <c r="C424" s="62"/>
      <c r="D424" s="65"/>
      <c r="E424" s="44" t="s">
        <v>150</v>
      </c>
      <c r="F424" s="33">
        <v>1</v>
      </c>
      <c r="G424" s="42" t="s">
        <v>8</v>
      </c>
      <c r="H424" s="43"/>
      <c r="I424" s="43"/>
      <c r="J424" s="36">
        <f>24.96*1.2</f>
        <v>29.951999999999998</v>
      </c>
      <c r="K424" s="37">
        <f t="shared" si="28"/>
        <v>29.951999999999998</v>
      </c>
      <c r="L424" s="31"/>
      <c r="M424" s="72"/>
      <c r="N424" s="73"/>
      <c r="O424" s="74"/>
      <c r="P424" s="75"/>
      <c r="Q424" s="76"/>
      <c r="S424" s="110" t="str">
        <f>+E424</f>
        <v>Smoke control kit</v>
      </c>
      <c r="T424" s="114">
        <f>+K424</f>
        <v>29.951999999999998</v>
      </c>
      <c r="U424" s="12"/>
      <c r="V424" s="12">
        <v>20</v>
      </c>
      <c r="W424" s="19">
        <f>ROUND(+IF(V424&gt;0,T424/V424,""),2)</f>
        <v>1.5</v>
      </c>
      <c r="X424" s="111"/>
    </row>
    <row r="425" spans="1:24" ht="12.75" hidden="1" outlineLevel="1">
      <c r="A425" s="60"/>
      <c r="B425" s="61"/>
      <c r="C425" s="62"/>
      <c r="D425" s="65"/>
      <c r="E425" s="44"/>
      <c r="F425" s="33"/>
      <c r="G425" s="42"/>
      <c r="H425" s="43"/>
      <c r="I425" s="43"/>
      <c r="J425" s="36"/>
      <c r="K425" s="37">
        <f t="shared" si="28"/>
      </c>
      <c r="L425" s="31"/>
      <c r="M425" s="72"/>
      <c r="N425" s="73"/>
      <c r="O425" s="74"/>
      <c r="P425" s="75"/>
      <c r="Q425" s="76"/>
      <c r="S425" s="110"/>
      <c r="T425" s="12"/>
      <c r="U425" s="12"/>
      <c r="V425" s="12"/>
      <c r="W425" s="19"/>
      <c r="X425" s="111"/>
    </row>
    <row r="426" spans="1:24" ht="12.75" hidden="1" outlineLevel="1">
      <c r="A426" s="60"/>
      <c r="B426" s="61"/>
      <c r="C426" s="62"/>
      <c r="D426" s="65"/>
      <c r="E426" s="44" t="s">
        <v>151</v>
      </c>
      <c r="F426" s="33">
        <v>1</v>
      </c>
      <c r="G426" s="42" t="s">
        <v>8</v>
      </c>
      <c r="H426" s="43"/>
      <c r="I426" s="43"/>
      <c r="J426" s="36">
        <f>300*1.2</f>
        <v>360</v>
      </c>
      <c r="K426" s="37">
        <f t="shared" si="28"/>
        <v>360</v>
      </c>
      <c r="L426" s="31"/>
      <c r="M426" s="72"/>
      <c r="N426" s="73"/>
      <c r="O426" s="74"/>
      <c r="P426" s="75"/>
      <c r="Q426" s="76"/>
      <c r="S426" s="110"/>
      <c r="T426" s="12"/>
      <c r="U426" s="12"/>
      <c r="V426" s="12"/>
      <c r="W426" s="19"/>
      <c r="X426" s="111"/>
    </row>
    <row r="427" spans="1:24" ht="12.75" hidden="1" outlineLevel="1">
      <c r="A427" s="60"/>
      <c r="B427" s="61"/>
      <c r="C427" s="62"/>
      <c r="D427" s="65"/>
      <c r="E427" s="44"/>
      <c r="F427" s="33"/>
      <c r="G427" s="42"/>
      <c r="H427" s="43"/>
      <c r="I427" s="43"/>
      <c r="J427" s="36"/>
      <c r="K427" s="37">
        <f t="shared" si="28"/>
      </c>
      <c r="L427" s="31"/>
      <c r="M427" s="72"/>
      <c r="N427" s="73"/>
      <c r="O427" s="74"/>
      <c r="P427" s="75"/>
      <c r="Q427" s="76"/>
      <c r="S427" s="110"/>
      <c r="T427" s="12"/>
      <c r="U427" s="12"/>
      <c r="V427" s="12"/>
      <c r="W427" s="19"/>
      <c r="X427" s="111"/>
    </row>
    <row r="428" spans="1:24" ht="12.75" hidden="1" outlineLevel="1">
      <c r="A428" s="60"/>
      <c r="B428" s="61"/>
      <c r="C428" s="62"/>
      <c r="D428" s="65"/>
      <c r="E428" s="44" t="s">
        <v>152</v>
      </c>
      <c r="F428" s="33">
        <v>1</v>
      </c>
      <c r="G428" s="42" t="s">
        <v>8</v>
      </c>
      <c r="H428" s="43"/>
      <c r="I428" s="43"/>
      <c r="J428" s="36">
        <f>535*1.2</f>
        <v>642</v>
      </c>
      <c r="K428" s="37">
        <f t="shared" si="28"/>
        <v>642</v>
      </c>
      <c r="L428" s="31"/>
      <c r="M428" s="72"/>
      <c r="N428" s="73"/>
      <c r="O428" s="74"/>
      <c r="P428" s="75"/>
      <c r="Q428" s="76"/>
      <c r="S428" s="110" t="str">
        <f>+E428</f>
        <v>Liner and vermiculite</v>
      </c>
      <c r="T428" s="114">
        <f>+K428</f>
        <v>642</v>
      </c>
      <c r="U428" s="12"/>
      <c r="V428" s="12">
        <v>20</v>
      </c>
      <c r="W428" s="19">
        <f>ROUND(+IF(V428&gt;0,T428/V428,""),2)</f>
        <v>32.1</v>
      </c>
      <c r="X428" s="111"/>
    </row>
    <row r="429" spans="1:24" ht="12.75" hidden="1" outlineLevel="1">
      <c r="A429" s="60"/>
      <c r="B429" s="61"/>
      <c r="C429" s="62"/>
      <c r="D429" s="65"/>
      <c r="E429" s="44"/>
      <c r="F429" s="33"/>
      <c r="G429" s="42"/>
      <c r="H429" s="43"/>
      <c r="I429" s="43"/>
      <c r="J429" s="36"/>
      <c r="K429" s="37">
        <f t="shared" si="28"/>
      </c>
      <c r="L429" s="31"/>
      <c r="M429" s="72"/>
      <c r="N429" s="73"/>
      <c r="O429" s="74"/>
      <c r="P429" s="75"/>
      <c r="Q429" s="76"/>
      <c r="S429" s="110"/>
      <c r="T429" s="12"/>
      <c r="U429" s="12"/>
      <c r="V429" s="12"/>
      <c r="W429" s="19"/>
      <c r="X429" s="111"/>
    </row>
    <row r="430" spans="1:24" ht="25.5" hidden="1" outlineLevel="1">
      <c r="A430" s="60"/>
      <c r="B430" s="61"/>
      <c r="C430" s="62"/>
      <c r="D430" s="65"/>
      <c r="E430" s="44" t="s">
        <v>153</v>
      </c>
      <c r="F430" s="33">
        <v>1</v>
      </c>
      <c r="G430" s="42" t="s">
        <v>8</v>
      </c>
      <c r="H430" s="43">
        <v>2</v>
      </c>
      <c r="I430" s="43">
        <v>50</v>
      </c>
      <c r="J430" s="36">
        <f>IF(+I430+H430&gt;0,I430+(H430*labour),"")</f>
        <v>110</v>
      </c>
      <c r="K430" s="37">
        <f t="shared" si="28"/>
        <v>110</v>
      </c>
      <c r="L430" s="31"/>
      <c r="M430" s="72"/>
      <c r="N430" s="73"/>
      <c r="O430" s="74"/>
      <c r="P430" s="75"/>
      <c r="Q430" s="76"/>
      <c r="S430" s="113" t="s">
        <v>251</v>
      </c>
      <c r="T430" s="12"/>
      <c r="U430" s="12"/>
      <c r="V430" s="12"/>
      <c r="W430" s="19"/>
      <c r="X430" s="111" t="s">
        <v>272</v>
      </c>
    </row>
    <row r="431" spans="1:24" ht="12.75" hidden="1" outlineLevel="1">
      <c r="A431" s="60"/>
      <c r="B431" s="61"/>
      <c r="C431" s="62"/>
      <c r="D431" s="65"/>
      <c r="E431" s="44"/>
      <c r="F431" s="33"/>
      <c r="G431" s="42"/>
      <c r="H431" s="43"/>
      <c r="I431" s="43"/>
      <c r="J431" s="36">
        <f>IF(+I431+H431&gt;0,I431+(H431*labour),"")</f>
      </c>
      <c r="K431" s="37">
        <f t="shared" si="28"/>
      </c>
      <c r="L431" s="31"/>
      <c r="M431" s="72"/>
      <c r="N431" s="73"/>
      <c r="O431" s="74"/>
      <c r="P431" s="75"/>
      <c r="Q431" s="76"/>
      <c r="S431" s="110" t="s">
        <v>273</v>
      </c>
      <c r="T431" s="12"/>
      <c r="U431" s="12">
        <v>70</v>
      </c>
      <c r="V431" s="12">
        <v>1</v>
      </c>
      <c r="W431" s="19">
        <f>+U431/V431</f>
        <v>70</v>
      </c>
      <c r="X431" s="111"/>
    </row>
    <row r="432" spans="1:24" ht="12.75" hidden="1" outlineLevel="1">
      <c r="A432" s="60"/>
      <c r="B432" s="61"/>
      <c r="C432" s="62"/>
      <c r="D432" s="65"/>
      <c r="E432" s="44" t="s">
        <v>154</v>
      </c>
      <c r="F432" s="33">
        <v>1</v>
      </c>
      <c r="G432" s="42" t="s">
        <v>8</v>
      </c>
      <c r="H432" s="43"/>
      <c r="I432" s="43"/>
      <c r="J432" s="36">
        <f>+K197</f>
        <v>650.595</v>
      </c>
      <c r="K432" s="37">
        <f t="shared" si="28"/>
        <v>650.595</v>
      </c>
      <c r="L432" s="31"/>
      <c r="M432" s="72"/>
      <c r="N432" s="73"/>
      <c r="O432" s="74"/>
      <c r="P432" s="75"/>
      <c r="Q432" s="76"/>
      <c r="S432" s="110" t="s">
        <v>274</v>
      </c>
      <c r="T432" s="12"/>
      <c r="U432" s="12">
        <v>40</v>
      </c>
      <c r="V432" s="12">
        <v>5</v>
      </c>
      <c r="W432" s="19">
        <f>+U432/V432</f>
        <v>8</v>
      </c>
      <c r="X432" s="111" t="s">
        <v>272</v>
      </c>
    </row>
    <row r="433" spans="1:24" ht="12.75" hidden="1" outlineLevel="1">
      <c r="A433" s="60"/>
      <c r="B433" s="61"/>
      <c r="C433" s="62"/>
      <c r="D433" s="65"/>
      <c r="E433" s="44"/>
      <c r="F433" s="33"/>
      <c r="G433" s="42"/>
      <c r="H433" s="43"/>
      <c r="I433" s="43"/>
      <c r="J433" s="36"/>
      <c r="K433" s="37"/>
      <c r="L433" s="31"/>
      <c r="M433" s="72"/>
      <c r="N433" s="73"/>
      <c r="O433" s="74"/>
      <c r="P433" s="75"/>
      <c r="Q433" s="76"/>
      <c r="S433" s="110"/>
      <c r="T433" s="12"/>
      <c r="U433" s="12"/>
      <c r="V433" s="12"/>
      <c r="W433" s="19"/>
      <c r="X433" s="111"/>
    </row>
    <row r="434" spans="1:24" ht="12.75" hidden="1" outlineLevel="1">
      <c r="A434" s="60"/>
      <c r="B434" s="61"/>
      <c r="C434" s="62"/>
      <c r="D434" s="65"/>
      <c r="E434" s="38" t="s">
        <v>362</v>
      </c>
      <c r="F434" s="33">
        <v>10</v>
      </c>
      <c r="G434" s="34" t="s">
        <v>363</v>
      </c>
      <c r="H434" s="39"/>
      <c r="I434" s="164"/>
      <c r="J434" s="39">
        <f>SUM(K421:K433)</f>
        <v>2506.547</v>
      </c>
      <c r="K434" s="37">
        <f>+J434*F434%</f>
        <v>250.65470000000002</v>
      </c>
      <c r="L434" s="31"/>
      <c r="M434" s="72"/>
      <c r="N434" s="73"/>
      <c r="O434" s="74"/>
      <c r="P434" s="75"/>
      <c r="Q434" s="76"/>
      <c r="S434" s="110"/>
      <c r="T434" s="12"/>
      <c r="U434" s="12"/>
      <c r="V434" s="12"/>
      <c r="W434" s="19"/>
      <c r="X434" s="111"/>
    </row>
    <row r="435" spans="1:24" ht="12.75" hidden="1" outlineLevel="1">
      <c r="A435" s="60"/>
      <c r="B435" s="61"/>
      <c r="C435" s="62"/>
      <c r="D435" s="65"/>
      <c r="E435" s="44"/>
      <c r="F435" s="33"/>
      <c r="G435" s="42"/>
      <c r="H435" s="43"/>
      <c r="I435" s="43"/>
      <c r="J435" s="36">
        <f>+K198</f>
      </c>
      <c r="K435" s="37">
        <f t="shared" si="28"/>
      </c>
      <c r="L435" s="31"/>
      <c r="M435" s="72"/>
      <c r="N435" s="73"/>
      <c r="O435" s="74"/>
      <c r="P435" s="75"/>
      <c r="Q435" s="76"/>
      <c r="S435" s="110" t="s">
        <v>275</v>
      </c>
      <c r="T435" s="12"/>
      <c r="U435" s="12">
        <v>60</v>
      </c>
      <c r="V435" s="12">
        <v>5</v>
      </c>
      <c r="W435" s="19">
        <f>+U435/V435</f>
        <v>12</v>
      </c>
      <c r="X435" s="111"/>
    </row>
    <row r="436" spans="1:24" ht="12.75" collapsed="1">
      <c r="A436" s="60"/>
      <c r="B436" s="61"/>
      <c r="C436" s="62"/>
      <c r="D436" s="65"/>
      <c r="E436" s="44"/>
      <c r="F436" s="33"/>
      <c r="G436" s="42"/>
      <c r="H436" s="43"/>
      <c r="I436" s="43"/>
      <c r="J436" s="36">
        <f>IF(+I436+H436&gt;0,I436+(H436*labour),"")</f>
      </c>
      <c r="K436" s="37">
        <f t="shared" si="28"/>
      </c>
      <c r="L436" s="31"/>
      <c r="M436" s="72"/>
      <c r="N436" s="73"/>
      <c r="O436" s="74"/>
      <c r="P436" s="75"/>
      <c r="Q436" s="76"/>
      <c r="S436" s="110"/>
      <c r="T436" s="12"/>
      <c r="U436" s="12"/>
      <c r="V436" s="12"/>
      <c r="W436" s="19"/>
      <c r="X436" s="111"/>
    </row>
    <row r="437" spans="1:24" ht="12.75">
      <c r="A437" s="60"/>
      <c r="B437" s="61"/>
      <c r="C437" s="62"/>
      <c r="D437" s="65"/>
      <c r="E437" s="44"/>
      <c r="F437" s="33"/>
      <c r="G437" s="42"/>
      <c r="H437" s="43"/>
      <c r="I437" s="43"/>
      <c r="J437" s="36">
        <f>IF(+I437+H437&gt;0,I437+(H437*labour),"")</f>
      </c>
      <c r="K437" s="37">
        <f t="shared" si="28"/>
      </c>
      <c r="L437" s="31"/>
      <c r="M437" s="72"/>
      <c r="N437" s="73"/>
      <c r="O437" s="74"/>
      <c r="P437" s="75"/>
      <c r="Q437" s="76"/>
      <c r="S437" s="110"/>
      <c r="T437" s="12"/>
      <c r="U437" s="12"/>
      <c r="V437" s="12"/>
      <c r="W437" s="19"/>
      <c r="X437" s="111"/>
    </row>
    <row r="438" spans="1:24" ht="12.75">
      <c r="A438" s="60"/>
      <c r="B438" s="61"/>
      <c r="C438" s="62"/>
      <c r="D438" s="65"/>
      <c r="E438" s="77" t="s">
        <v>156</v>
      </c>
      <c r="F438" s="33"/>
      <c r="G438" s="42"/>
      <c r="H438" s="43"/>
      <c r="I438" s="43"/>
      <c r="J438" s="36">
        <f>IF(+I438+H438&gt;0,I438+(H438*labour),"")</f>
      </c>
      <c r="K438" s="53">
        <v>4800</v>
      </c>
      <c r="L438" s="31"/>
      <c r="M438" s="72"/>
      <c r="N438" s="73"/>
      <c r="O438" s="74"/>
      <c r="P438" s="75"/>
      <c r="Q438" s="76"/>
      <c r="S438" s="110"/>
      <c r="T438" s="12"/>
      <c r="U438" s="12"/>
      <c r="V438" s="12"/>
      <c r="W438" s="112">
        <f>SUM(W439:W441)</f>
        <v>310</v>
      </c>
      <c r="X438" s="111"/>
    </row>
    <row r="439" spans="1:24" ht="12.75" hidden="1" outlineLevel="1">
      <c r="A439" s="60"/>
      <c r="B439" s="61"/>
      <c r="C439" s="62"/>
      <c r="D439" s="65"/>
      <c r="E439" s="77"/>
      <c r="F439" s="33"/>
      <c r="G439" s="42"/>
      <c r="H439" s="43"/>
      <c r="I439" s="43"/>
      <c r="J439" s="36"/>
      <c r="K439" s="37"/>
      <c r="L439" s="31"/>
      <c r="M439" s="72"/>
      <c r="N439" s="73"/>
      <c r="O439" s="74"/>
      <c r="P439" s="75"/>
      <c r="Q439" s="76"/>
      <c r="S439" s="113" t="s">
        <v>257</v>
      </c>
      <c r="T439" s="114">
        <f>+K438</f>
        <v>4800</v>
      </c>
      <c r="U439" s="12"/>
      <c r="V439" s="12">
        <v>20</v>
      </c>
      <c r="W439" s="19">
        <f>+T439/V439</f>
        <v>240</v>
      </c>
      <c r="X439" s="111"/>
    </row>
    <row r="440" spans="1:24" ht="12.75" hidden="1" outlineLevel="1">
      <c r="A440" s="60"/>
      <c r="B440" s="61"/>
      <c r="C440" s="62"/>
      <c r="D440" s="65"/>
      <c r="E440" s="44" t="s">
        <v>158</v>
      </c>
      <c r="F440" s="33"/>
      <c r="G440" s="42"/>
      <c r="H440" s="43"/>
      <c r="I440" s="43"/>
      <c r="J440" s="36"/>
      <c r="K440" s="37"/>
      <c r="L440" s="31"/>
      <c r="M440" s="72"/>
      <c r="N440" s="73"/>
      <c r="O440" s="74"/>
      <c r="P440" s="75"/>
      <c r="Q440" s="76"/>
      <c r="S440" s="113" t="s">
        <v>251</v>
      </c>
      <c r="T440" s="12"/>
      <c r="U440" s="12"/>
      <c r="V440" s="12"/>
      <c r="W440" s="19"/>
      <c r="X440" s="111"/>
    </row>
    <row r="441" spans="1:24" ht="38.25" hidden="1" outlineLevel="1">
      <c r="A441" s="60"/>
      <c r="B441" s="61"/>
      <c r="C441" s="62"/>
      <c r="D441" s="65"/>
      <c r="E441" s="44"/>
      <c r="F441" s="33"/>
      <c r="G441" s="42"/>
      <c r="H441" s="43"/>
      <c r="I441" s="43"/>
      <c r="J441" s="36">
        <f>IF(+I441+H441&gt;0,I441+(H441*labour),"")</f>
      </c>
      <c r="K441" s="37">
        <f>+IF(F441="item",J441,IF(F441&lt;&gt;0,F441*J441,""))</f>
      </c>
      <c r="L441" s="69" t="s">
        <v>162</v>
      </c>
      <c r="M441" s="72"/>
      <c r="N441" s="73"/>
      <c r="O441" s="74"/>
      <c r="P441" s="75"/>
      <c r="Q441" s="76"/>
      <c r="S441" s="110" t="s">
        <v>276</v>
      </c>
      <c r="T441" s="12"/>
      <c r="U441" s="12">
        <v>70</v>
      </c>
      <c r="V441" s="12">
        <v>1</v>
      </c>
      <c r="W441" s="19">
        <f>+U441/V441</f>
        <v>70</v>
      </c>
      <c r="X441" s="111"/>
    </row>
    <row r="442" spans="1:24" ht="12.75" collapsed="1">
      <c r="A442" s="60"/>
      <c r="B442" s="61"/>
      <c r="C442" s="62"/>
      <c r="D442" s="65"/>
      <c r="E442" s="44"/>
      <c r="F442" s="33"/>
      <c r="G442" s="42"/>
      <c r="H442" s="43"/>
      <c r="I442" s="43"/>
      <c r="J442" s="36">
        <f>IF(+I442+H442&gt;0,I442+(H442*labour),"")</f>
      </c>
      <c r="K442" s="37">
        <f>+IF(F442="item",J442,IF(F442&lt;&gt;0,F442*J442,""))</f>
      </c>
      <c r="L442" s="31"/>
      <c r="M442" s="72"/>
      <c r="N442" s="73"/>
      <c r="O442" s="74"/>
      <c r="P442" s="75"/>
      <c r="Q442" s="76"/>
      <c r="S442" s="110"/>
      <c r="T442" s="12"/>
      <c r="U442" s="12"/>
      <c r="V442" s="12"/>
      <c r="W442" s="19"/>
      <c r="X442" s="111"/>
    </row>
    <row r="443" spans="1:24" ht="12.75">
      <c r="A443" s="60"/>
      <c r="B443" s="61"/>
      <c r="C443" s="62"/>
      <c r="D443" s="65"/>
      <c r="E443" s="44"/>
      <c r="F443" s="33"/>
      <c r="G443" s="42"/>
      <c r="H443" s="43"/>
      <c r="I443" s="43"/>
      <c r="J443" s="36"/>
      <c r="K443" s="37"/>
      <c r="L443" s="31"/>
      <c r="M443" s="72"/>
      <c r="N443" s="73"/>
      <c r="O443" s="74"/>
      <c r="P443" s="75"/>
      <c r="Q443" s="76"/>
      <c r="S443" s="110"/>
      <c r="T443" s="12"/>
      <c r="U443" s="12"/>
      <c r="V443" s="12"/>
      <c r="W443" s="19"/>
      <c r="X443" s="111"/>
    </row>
    <row r="444" spans="1:24" ht="12.75">
      <c r="A444" s="60"/>
      <c r="B444" s="61"/>
      <c r="C444" s="62"/>
      <c r="D444" s="65"/>
      <c r="E444" s="77" t="s">
        <v>161</v>
      </c>
      <c r="F444" s="33"/>
      <c r="G444" s="42"/>
      <c r="H444" s="43"/>
      <c r="I444" s="43"/>
      <c r="J444" s="36">
        <f aca="true" t="shared" si="29" ref="J444:J451">IF(+I444+H444&gt;0,I444+(H444*labour),"")</f>
      </c>
      <c r="K444" s="53">
        <v>18000</v>
      </c>
      <c r="L444" s="31" t="s">
        <v>159</v>
      </c>
      <c r="M444" s="72"/>
      <c r="N444" s="73"/>
      <c r="O444" s="74"/>
      <c r="P444" s="75"/>
      <c r="Q444" s="76"/>
      <c r="S444" s="110"/>
      <c r="T444" s="12"/>
      <c r="U444" s="12"/>
      <c r="V444" s="12"/>
      <c r="W444" s="112">
        <f>SUM(W445:W447)</f>
        <v>970</v>
      </c>
      <c r="X444" s="111"/>
    </row>
    <row r="445" spans="1:24" ht="12.75">
      <c r="A445" s="60"/>
      <c r="B445" s="61"/>
      <c r="C445" s="62"/>
      <c r="D445" s="65"/>
      <c r="E445" s="44"/>
      <c r="F445" s="33"/>
      <c r="G445" s="42"/>
      <c r="H445" s="43"/>
      <c r="I445" s="43"/>
      <c r="J445" s="36">
        <f t="shared" si="29"/>
      </c>
      <c r="K445" s="37">
        <f aca="true" t="shared" si="30" ref="K445:K450">+IF(F445="item",J445,IF(F445&lt;&gt;0,F445*J445,""))</f>
      </c>
      <c r="L445" s="31"/>
      <c r="M445" s="72"/>
      <c r="N445" s="73"/>
      <c r="O445" s="74"/>
      <c r="P445" s="75"/>
      <c r="Q445" s="76"/>
      <c r="S445" s="113" t="s">
        <v>257</v>
      </c>
      <c r="T445" s="114">
        <f>+K444</f>
        <v>18000</v>
      </c>
      <c r="U445" s="12"/>
      <c r="V445" s="12">
        <v>20</v>
      </c>
      <c r="W445" s="19">
        <f>+T445/V445</f>
        <v>900</v>
      </c>
      <c r="X445" s="111"/>
    </row>
    <row r="446" spans="1:24" ht="12.75" hidden="1" outlineLevel="1">
      <c r="A446" s="60"/>
      <c r="B446" s="61"/>
      <c r="C446" s="62"/>
      <c r="D446" s="65"/>
      <c r="E446" s="44" t="s">
        <v>158</v>
      </c>
      <c r="F446" s="33"/>
      <c r="G446" s="42"/>
      <c r="H446" s="43"/>
      <c r="I446" s="43"/>
      <c r="J446" s="36">
        <f t="shared" si="29"/>
      </c>
      <c r="K446" s="37">
        <f t="shared" si="30"/>
      </c>
      <c r="L446" s="31" t="s">
        <v>160</v>
      </c>
      <c r="M446" s="72"/>
      <c r="N446" s="73"/>
      <c r="O446" s="74"/>
      <c r="P446" s="75"/>
      <c r="Q446" s="76"/>
      <c r="S446" s="113" t="s">
        <v>251</v>
      </c>
      <c r="T446" s="12"/>
      <c r="U446" s="12"/>
      <c r="V446" s="12"/>
      <c r="W446" s="19"/>
      <c r="X446" s="111"/>
    </row>
    <row r="447" spans="1:24" ht="12.75" hidden="1" outlineLevel="1">
      <c r="A447" s="60"/>
      <c r="B447" s="61"/>
      <c r="C447" s="62"/>
      <c r="D447" s="65"/>
      <c r="E447" s="44"/>
      <c r="F447" s="33"/>
      <c r="G447" s="42"/>
      <c r="H447" s="43"/>
      <c r="I447" s="43"/>
      <c r="J447" s="36">
        <f t="shared" si="29"/>
      </c>
      <c r="K447" s="37">
        <f t="shared" si="30"/>
      </c>
      <c r="L447" s="31"/>
      <c r="M447" s="72"/>
      <c r="N447" s="73"/>
      <c r="O447" s="74"/>
      <c r="P447" s="75"/>
      <c r="Q447" s="76"/>
      <c r="S447" s="110" t="s">
        <v>276</v>
      </c>
      <c r="T447" s="12"/>
      <c r="U447" s="12">
        <v>70</v>
      </c>
      <c r="V447" s="12">
        <v>1</v>
      </c>
      <c r="W447" s="19">
        <f>+U447/V447</f>
        <v>70</v>
      </c>
      <c r="X447" s="111"/>
    </row>
    <row r="448" spans="1:24" ht="38.25" hidden="1" outlineLevel="1">
      <c r="A448" s="60"/>
      <c r="B448" s="61"/>
      <c r="C448" s="62"/>
      <c r="D448" s="65"/>
      <c r="E448" s="44"/>
      <c r="F448" s="33"/>
      <c r="G448" s="42"/>
      <c r="H448" s="43"/>
      <c r="I448" s="43"/>
      <c r="J448" s="36">
        <f t="shared" si="29"/>
      </c>
      <c r="K448" s="37">
        <f t="shared" si="30"/>
      </c>
      <c r="L448" s="69" t="s">
        <v>157</v>
      </c>
      <c r="M448" s="72"/>
      <c r="N448" s="73"/>
      <c r="O448" s="74"/>
      <c r="P448" s="75"/>
      <c r="Q448" s="76"/>
      <c r="S448" s="110"/>
      <c r="T448" s="12"/>
      <c r="U448" s="12"/>
      <c r="V448" s="12"/>
      <c r="W448" s="19"/>
      <c r="X448" s="111"/>
    </row>
    <row r="449" spans="1:24" ht="12.75" collapsed="1">
      <c r="A449" s="60"/>
      <c r="B449" s="61"/>
      <c r="C449" s="62"/>
      <c r="D449" s="65"/>
      <c r="E449" s="44"/>
      <c r="F449" s="33"/>
      <c r="G449" s="42"/>
      <c r="H449" s="43"/>
      <c r="I449" s="43"/>
      <c r="J449" s="36">
        <f t="shared" si="29"/>
      </c>
      <c r="K449" s="37">
        <f t="shared" si="30"/>
      </c>
      <c r="L449" s="31"/>
      <c r="M449" s="72"/>
      <c r="N449" s="73"/>
      <c r="O449" s="74"/>
      <c r="P449" s="75"/>
      <c r="Q449" s="76"/>
      <c r="S449" s="110"/>
      <c r="T449" s="12"/>
      <c r="U449" s="12"/>
      <c r="V449" s="12"/>
      <c r="W449" s="19"/>
      <c r="X449" s="111"/>
    </row>
    <row r="450" spans="1:24" ht="12.75">
      <c r="A450" s="60"/>
      <c r="B450" s="61"/>
      <c r="C450" s="62"/>
      <c r="D450" s="65"/>
      <c r="E450" s="44"/>
      <c r="F450" s="33"/>
      <c r="G450" s="42"/>
      <c r="H450" s="43"/>
      <c r="I450" s="43"/>
      <c r="J450" s="36">
        <f t="shared" si="29"/>
      </c>
      <c r="K450" s="37">
        <f t="shared" si="30"/>
      </c>
      <c r="L450" s="31"/>
      <c r="M450" s="72"/>
      <c r="N450" s="73"/>
      <c r="O450" s="74"/>
      <c r="P450" s="75"/>
      <c r="Q450" s="76"/>
      <c r="S450" s="110"/>
      <c r="T450" s="12"/>
      <c r="U450" s="12"/>
      <c r="V450" s="12"/>
      <c r="W450" s="19"/>
      <c r="X450" s="111"/>
    </row>
    <row r="451" spans="1:24" ht="38.25">
      <c r="A451" s="60"/>
      <c r="B451" s="61"/>
      <c r="C451" s="62"/>
      <c r="D451" s="65"/>
      <c r="E451" s="77" t="s">
        <v>163</v>
      </c>
      <c r="F451" s="33"/>
      <c r="G451" s="42"/>
      <c r="H451" s="43"/>
      <c r="I451" s="43"/>
      <c r="J451" s="36">
        <f t="shared" si="29"/>
      </c>
      <c r="K451" s="53">
        <f>SUM(K452:K459)</f>
        <v>8124.094</v>
      </c>
      <c r="L451" s="31"/>
      <c r="M451" s="72"/>
      <c r="N451" s="73"/>
      <c r="O451" s="74"/>
      <c r="P451" s="75"/>
      <c r="Q451" s="76"/>
      <c r="S451" s="110"/>
      <c r="T451" s="12"/>
      <c r="U451" s="12"/>
      <c r="V451" s="12"/>
      <c r="W451" s="19"/>
      <c r="X451" s="116" t="s">
        <v>264</v>
      </c>
    </row>
    <row r="452" spans="1:24" ht="12.75" hidden="1" outlineLevel="1">
      <c r="A452" s="60"/>
      <c r="B452" s="61"/>
      <c r="C452" s="62"/>
      <c r="D452" s="65"/>
      <c r="E452" s="44" t="s">
        <v>165</v>
      </c>
      <c r="F452" s="33">
        <v>1</v>
      </c>
      <c r="G452" s="42" t="s">
        <v>8</v>
      </c>
      <c r="H452" s="43"/>
      <c r="I452" s="43"/>
      <c r="J452" s="36">
        <v>6565.54</v>
      </c>
      <c r="K452" s="37">
        <f aca="true" t="shared" si="31" ref="K452:K459">+IF(F452="item",J452,IF(F452&lt;&gt;0,F452*J452,""))</f>
        <v>6565.54</v>
      </c>
      <c r="L452" s="31" t="s">
        <v>166</v>
      </c>
      <c r="M452" s="72"/>
      <c r="N452" s="73"/>
      <c r="O452" s="74"/>
      <c r="P452" s="75"/>
      <c r="Q452" s="76"/>
      <c r="S452" s="110"/>
      <c r="T452" s="12"/>
      <c r="U452" s="12"/>
      <c r="V452" s="12"/>
      <c r="W452" s="19"/>
      <c r="X452" s="111"/>
    </row>
    <row r="453" spans="1:24" ht="51" customHeight="1" hidden="1" outlineLevel="1">
      <c r="A453" s="60"/>
      <c r="B453" s="61"/>
      <c r="C453" s="62"/>
      <c r="D453" s="65"/>
      <c r="E453" s="44"/>
      <c r="F453" s="33"/>
      <c r="G453" s="42"/>
      <c r="H453" s="43"/>
      <c r="I453" s="43"/>
      <c r="J453" s="36">
        <f>IF(+I453+H453&gt;0,I453+(H453*labour),"")</f>
      </c>
      <c r="K453" s="37">
        <f t="shared" si="31"/>
      </c>
      <c r="L453" s="69" t="s">
        <v>164</v>
      </c>
      <c r="M453" s="72"/>
      <c r="N453" s="73"/>
      <c r="O453" s="74"/>
      <c r="P453" s="75"/>
      <c r="Q453" s="76"/>
      <c r="S453" s="110"/>
      <c r="T453" s="12"/>
      <c r="U453" s="12"/>
      <c r="V453" s="12"/>
      <c r="W453" s="19"/>
      <c r="X453" s="111"/>
    </row>
    <row r="454" spans="1:24" ht="12.75" hidden="1" outlineLevel="1">
      <c r="A454" s="60"/>
      <c r="B454" s="61"/>
      <c r="C454" s="62"/>
      <c r="D454" s="65"/>
      <c r="E454" s="44" t="s">
        <v>167</v>
      </c>
      <c r="F454" s="33" t="s">
        <v>1</v>
      </c>
      <c r="G454" s="42"/>
      <c r="H454" s="43">
        <v>24</v>
      </c>
      <c r="I454" s="43"/>
      <c r="J454" s="36">
        <f>IF(+I454+H454&gt;0,I454+(H454*labour),"")</f>
        <v>720</v>
      </c>
      <c r="K454" s="37">
        <f t="shared" si="31"/>
        <v>720</v>
      </c>
      <c r="L454" s="31" t="s">
        <v>168</v>
      </c>
      <c r="M454" s="72"/>
      <c r="N454" s="73"/>
      <c r="O454" s="74"/>
      <c r="P454" s="75"/>
      <c r="Q454" s="76"/>
      <c r="S454" s="110"/>
      <c r="T454" s="12"/>
      <c r="U454" s="12"/>
      <c r="V454" s="12"/>
      <c r="W454" s="19"/>
      <c r="X454" s="111"/>
    </row>
    <row r="455" spans="1:24" ht="12.75" hidden="1" outlineLevel="1">
      <c r="A455" s="60"/>
      <c r="B455" s="61"/>
      <c r="C455" s="62"/>
      <c r="D455" s="65"/>
      <c r="E455" s="44"/>
      <c r="F455" s="33"/>
      <c r="G455" s="42"/>
      <c r="H455" s="43"/>
      <c r="I455" s="43"/>
      <c r="J455" s="36">
        <f>IF(+I455+H455&gt;0,I455+(H455*labour),"")</f>
      </c>
      <c r="K455" s="37">
        <f t="shared" si="31"/>
      </c>
      <c r="L455" s="69" t="s">
        <v>169</v>
      </c>
      <c r="M455" s="72"/>
      <c r="N455" s="73"/>
      <c r="O455" s="74"/>
      <c r="P455" s="75"/>
      <c r="Q455" s="76"/>
      <c r="S455" s="110"/>
      <c r="T455" s="12"/>
      <c r="U455" s="12"/>
      <c r="V455" s="12"/>
      <c r="W455" s="19"/>
      <c r="X455" s="111"/>
    </row>
    <row r="456" spans="1:24" ht="12.75" hidden="1" outlineLevel="1">
      <c r="A456" s="60"/>
      <c r="B456" s="61"/>
      <c r="C456" s="62"/>
      <c r="D456" s="65"/>
      <c r="E456" s="44" t="s">
        <v>43</v>
      </c>
      <c r="F456" s="33" t="s">
        <v>1</v>
      </c>
      <c r="G456" s="42"/>
      <c r="H456" s="43"/>
      <c r="I456" s="43"/>
      <c r="J456" s="36">
        <v>100</v>
      </c>
      <c r="K456" s="37">
        <f t="shared" si="31"/>
        <v>100</v>
      </c>
      <c r="L456" s="31"/>
      <c r="M456" s="72"/>
      <c r="N456" s="73"/>
      <c r="O456" s="74"/>
      <c r="P456" s="75"/>
      <c r="Q456" s="76"/>
      <c r="S456" s="110"/>
      <c r="T456" s="12"/>
      <c r="U456" s="12"/>
      <c r="V456" s="12"/>
      <c r="W456" s="19"/>
      <c r="X456" s="111"/>
    </row>
    <row r="457" spans="1:24" ht="12.75" hidden="1" outlineLevel="1">
      <c r="A457" s="60"/>
      <c r="B457" s="61"/>
      <c r="C457" s="62"/>
      <c r="D457" s="65"/>
      <c r="E457" s="44"/>
      <c r="F457" s="33"/>
      <c r="G457" s="42"/>
      <c r="H457" s="43"/>
      <c r="I457" s="43"/>
      <c r="J457" s="36"/>
      <c r="K457" s="37"/>
      <c r="L457" s="31"/>
      <c r="M457" s="72"/>
      <c r="N457" s="73"/>
      <c r="O457" s="74"/>
      <c r="P457" s="75"/>
      <c r="Q457" s="76"/>
      <c r="S457" s="110"/>
      <c r="T457" s="12"/>
      <c r="U457" s="12"/>
      <c r="V457" s="12"/>
      <c r="W457" s="19"/>
      <c r="X457" s="111"/>
    </row>
    <row r="458" spans="1:24" ht="12.75" hidden="1" outlineLevel="1">
      <c r="A458" s="60"/>
      <c r="B458" s="61"/>
      <c r="C458" s="62"/>
      <c r="D458" s="65"/>
      <c r="E458" s="38" t="s">
        <v>362</v>
      </c>
      <c r="F458" s="33">
        <v>10</v>
      </c>
      <c r="G458" s="34" t="s">
        <v>363</v>
      </c>
      <c r="H458" s="39"/>
      <c r="I458" s="39"/>
      <c r="J458" s="36">
        <f>SUM(K452:K457)</f>
        <v>7385.54</v>
      </c>
      <c r="K458" s="37">
        <f>+J458*F458%</f>
        <v>738.5540000000001</v>
      </c>
      <c r="L458" s="31"/>
      <c r="M458" s="72"/>
      <c r="N458" s="73"/>
      <c r="O458" s="74"/>
      <c r="P458" s="75"/>
      <c r="Q458" s="76"/>
      <c r="S458" s="110"/>
      <c r="T458" s="12"/>
      <c r="U458" s="12"/>
      <c r="V458" s="12"/>
      <c r="W458" s="19"/>
      <c r="X458" s="111"/>
    </row>
    <row r="459" spans="1:24" ht="12.75" collapsed="1">
      <c r="A459" s="60"/>
      <c r="B459" s="61"/>
      <c r="C459" s="62"/>
      <c r="D459" s="65"/>
      <c r="E459" s="44"/>
      <c r="F459" s="33"/>
      <c r="G459" s="42"/>
      <c r="H459" s="43"/>
      <c r="I459" s="43"/>
      <c r="J459" s="36">
        <f>IF(+I459+H459&gt;0,I459+(H459*labour),"")</f>
      </c>
      <c r="K459" s="37">
        <f t="shared" si="31"/>
      </c>
      <c r="L459" s="31"/>
      <c r="M459" s="33"/>
      <c r="N459" s="42"/>
      <c r="O459" s="36"/>
      <c r="P459" s="37"/>
      <c r="Q459" s="54"/>
      <c r="S459" s="110"/>
      <c r="T459" s="12"/>
      <c r="U459" s="12"/>
      <c r="V459" s="12"/>
      <c r="W459" s="19"/>
      <c r="X459" s="111"/>
    </row>
    <row r="460" spans="1:24" ht="12.75">
      <c r="A460" s="60"/>
      <c r="B460" s="61"/>
      <c r="C460" s="62"/>
      <c r="D460" s="65"/>
      <c r="E460" s="44"/>
      <c r="F460" s="33"/>
      <c r="G460" s="42"/>
      <c r="H460" s="43"/>
      <c r="I460" s="43"/>
      <c r="J460" s="36"/>
      <c r="K460" s="37"/>
      <c r="L460" s="31"/>
      <c r="M460" s="33"/>
      <c r="N460" s="42"/>
      <c r="O460" s="36"/>
      <c r="P460" s="37"/>
      <c r="Q460" s="54"/>
      <c r="S460" s="110"/>
      <c r="T460" s="12"/>
      <c r="U460" s="12"/>
      <c r="V460" s="12"/>
      <c r="W460" s="19"/>
      <c r="X460" s="111"/>
    </row>
    <row r="461" spans="1:24" ht="12.75">
      <c r="A461" s="60"/>
      <c r="B461" s="61"/>
      <c r="C461" s="62"/>
      <c r="D461" s="65"/>
      <c r="E461" s="77" t="s">
        <v>173</v>
      </c>
      <c r="F461" s="33"/>
      <c r="G461" s="42"/>
      <c r="H461" s="43"/>
      <c r="I461" s="43"/>
      <c r="J461" s="36"/>
      <c r="K461" s="53">
        <f>SUM(K462:K464)</f>
        <v>10000</v>
      </c>
      <c r="L461" s="31"/>
      <c r="M461" s="72"/>
      <c r="N461" s="73"/>
      <c r="O461" s="74"/>
      <c r="P461" s="75"/>
      <c r="Q461" s="76"/>
      <c r="S461" s="110"/>
      <c r="T461" s="12"/>
      <c r="U461" s="12"/>
      <c r="V461" s="12"/>
      <c r="W461" s="112">
        <f>SUM(W462:W464)</f>
        <v>500</v>
      </c>
      <c r="X461" s="111"/>
    </row>
    <row r="462" spans="1:24" ht="12.75">
      <c r="A462" s="60"/>
      <c r="B462" s="61"/>
      <c r="C462" s="62"/>
      <c r="D462" s="65"/>
      <c r="E462" s="77"/>
      <c r="F462" s="33"/>
      <c r="G462" s="42"/>
      <c r="H462" s="43"/>
      <c r="I462" s="43"/>
      <c r="J462" s="36"/>
      <c r="K462" s="37">
        <f>+IF(F462="item",J462,IF(F462&lt;&gt;0,F462*J462,""))</f>
      </c>
      <c r="L462" s="31"/>
      <c r="M462" s="72"/>
      <c r="N462" s="73"/>
      <c r="O462" s="74"/>
      <c r="P462" s="75"/>
      <c r="Q462" s="76"/>
      <c r="S462" s="113" t="s">
        <v>257</v>
      </c>
      <c r="T462" s="114">
        <f>+K461</f>
        <v>10000</v>
      </c>
      <c r="U462" s="12"/>
      <c r="V462" s="12">
        <v>20</v>
      </c>
      <c r="W462" s="19">
        <f>+T462/V462</f>
        <v>500</v>
      </c>
      <c r="X462" s="111"/>
    </row>
    <row r="463" spans="1:24" ht="12.75" hidden="1" outlineLevel="1">
      <c r="A463" s="60"/>
      <c r="B463" s="61"/>
      <c r="C463" s="62"/>
      <c r="D463" s="65"/>
      <c r="E463" s="44" t="s">
        <v>158</v>
      </c>
      <c r="F463" s="33">
        <v>1</v>
      </c>
      <c r="G463" s="42" t="s">
        <v>8</v>
      </c>
      <c r="H463" s="43"/>
      <c r="I463" s="43"/>
      <c r="J463" s="36">
        <v>10000</v>
      </c>
      <c r="K463" s="37">
        <f>+IF(F463="item",J463,IF(F463&lt;&gt;0,F463*J463,""))</f>
        <v>10000</v>
      </c>
      <c r="L463" s="31" t="s">
        <v>172</v>
      </c>
      <c r="M463" s="72"/>
      <c r="N463" s="73"/>
      <c r="O463" s="74"/>
      <c r="P463" s="75"/>
      <c r="Q463" s="76"/>
      <c r="S463" s="113" t="s">
        <v>251</v>
      </c>
      <c r="T463" s="12"/>
      <c r="U463" s="12"/>
      <c r="V463" s="12"/>
      <c r="W463" s="19"/>
      <c r="X463" s="111"/>
    </row>
    <row r="464" spans="1:24" ht="12.75" hidden="1" outlineLevel="1">
      <c r="A464" s="60"/>
      <c r="B464" s="61"/>
      <c r="C464" s="62"/>
      <c r="D464" s="65"/>
      <c r="E464" s="77"/>
      <c r="F464" s="33"/>
      <c r="G464" s="42"/>
      <c r="H464" s="43"/>
      <c r="I464" s="43"/>
      <c r="J464" s="36"/>
      <c r="K464" s="37">
        <f>+IF(F464="item",J464,IF(F464&lt;&gt;0,F464*J464,""))</f>
      </c>
      <c r="L464" s="31"/>
      <c r="M464" s="72"/>
      <c r="N464" s="73"/>
      <c r="O464" s="74"/>
      <c r="P464" s="75"/>
      <c r="Q464" s="76"/>
      <c r="S464" s="110" t="s">
        <v>277</v>
      </c>
      <c r="T464" s="12"/>
      <c r="U464" s="12" t="s">
        <v>269</v>
      </c>
      <c r="V464" s="12">
        <v>1</v>
      </c>
      <c r="W464" s="19"/>
      <c r="X464" s="111"/>
    </row>
    <row r="465" spans="1:24" ht="12.75" hidden="1" outlineLevel="1">
      <c r="A465" s="60"/>
      <c r="B465" s="61"/>
      <c r="C465" s="62"/>
      <c r="D465" s="65"/>
      <c r="E465" s="44"/>
      <c r="F465" s="33"/>
      <c r="G465" s="42"/>
      <c r="H465" s="43"/>
      <c r="I465" s="43"/>
      <c r="J465" s="36"/>
      <c r="K465" s="37"/>
      <c r="L465" s="31"/>
      <c r="M465" s="33"/>
      <c r="N465" s="42"/>
      <c r="O465" s="36"/>
      <c r="P465" s="37"/>
      <c r="Q465" s="54"/>
      <c r="S465" s="110" t="s">
        <v>270</v>
      </c>
      <c r="T465" s="12"/>
      <c r="U465" s="12" t="s">
        <v>269</v>
      </c>
      <c r="V465" s="12" t="s">
        <v>269</v>
      </c>
      <c r="W465" s="19"/>
      <c r="X465" s="111"/>
    </row>
    <row r="466" spans="1:24" ht="12.75" hidden="1" outlineLevel="1">
      <c r="A466" s="60"/>
      <c r="B466" s="61"/>
      <c r="C466" s="62"/>
      <c r="D466" s="65"/>
      <c r="E466" s="44"/>
      <c r="F466" s="33"/>
      <c r="G466" s="42"/>
      <c r="H466" s="43"/>
      <c r="I466" s="43"/>
      <c r="J466" s="36"/>
      <c r="K466" s="37"/>
      <c r="L466" s="31"/>
      <c r="M466" s="33"/>
      <c r="N466" s="42"/>
      <c r="O466" s="36"/>
      <c r="P466" s="37"/>
      <c r="Q466" s="54"/>
      <c r="S466" s="110" t="s">
        <v>278</v>
      </c>
      <c r="T466" s="12"/>
      <c r="U466" s="12" t="s">
        <v>269</v>
      </c>
      <c r="V466" s="12" t="s">
        <v>269</v>
      </c>
      <c r="W466" s="19"/>
      <c r="X466" s="111"/>
    </row>
    <row r="467" spans="1:24" ht="12.75" collapsed="1">
      <c r="A467" s="60"/>
      <c r="B467" s="61"/>
      <c r="C467" s="62"/>
      <c r="D467" s="65"/>
      <c r="E467" s="44"/>
      <c r="F467" s="33"/>
      <c r="G467" s="42"/>
      <c r="H467" s="43"/>
      <c r="I467" s="43"/>
      <c r="J467" s="36"/>
      <c r="K467" s="37"/>
      <c r="L467" s="31"/>
      <c r="M467" s="33"/>
      <c r="N467" s="42"/>
      <c r="O467" s="36"/>
      <c r="P467" s="37"/>
      <c r="Q467" s="54"/>
      <c r="S467" s="110"/>
      <c r="T467" s="12"/>
      <c r="U467" s="12"/>
      <c r="V467" s="12"/>
      <c r="W467" s="19"/>
      <c r="X467" s="111"/>
    </row>
    <row r="468" spans="1:24" ht="12.75">
      <c r="A468" s="60"/>
      <c r="B468" s="61"/>
      <c r="C468" s="62"/>
      <c r="D468" s="65"/>
      <c r="E468" s="44"/>
      <c r="F468" s="33"/>
      <c r="G468" s="42"/>
      <c r="H468" s="43"/>
      <c r="I468" s="43"/>
      <c r="J468" s="36"/>
      <c r="K468" s="37"/>
      <c r="L468" s="31"/>
      <c r="M468" s="33"/>
      <c r="N468" s="42"/>
      <c r="O468" s="36"/>
      <c r="P468" s="37"/>
      <c r="Q468" s="54"/>
      <c r="S468" s="110"/>
      <c r="T468" s="12"/>
      <c r="U468" s="12"/>
      <c r="V468" s="12"/>
      <c r="W468" s="19"/>
      <c r="X468" s="111"/>
    </row>
    <row r="469" spans="1:24" ht="12.75">
      <c r="A469" s="60"/>
      <c r="B469" s="61"/>
      <c r="C469" s="62"/>
      <c r="D469" s="65"/>
      <c r="E469" s="44"/>
      <c r="F469" s="33"/>
      <c r="G469" s="42"/>
      <c r="H469" s="43"/>
      <c r="I469" s="43"/>
      <c r="J469" s="36"/>
      <c r="K469" s="37"/>
      <c r="L469" s="31"/>
      <c r="M469" s="33"/>
      <c r="N469" s="42"/>
      <c r="O469" s="36"/>
      <c r="P469" s="37"/>
      <c r="Q469" s="54"/>
      <c r="S469" s="110"/>
      <c r="T469" s="12"/>
      <c r="U469" s="12"/>
      <c r="V469" s="12"/>
      <c r="W469" s="19"/>
      <c r="X469" s="111"/>
    </row>
    <row r="470" spans="1:24" ht="12.75">
      <c r="A470" s="60"/>
      <c r="B470" s="61"/>
      <c r="C470" s="62"/>
      <c r="D470" s="65"/>
      <c r="E470" s="44"/>
      <c r="F470" s="33"/>
      <c r="G470" s="42"/>
      <c r="H470" s="43"/>
      <c r="I470" s="43"/>
      <c r="J470" s="36">
        <f>IF(+I470+H470&gt;0,I470+(H470*labour),"")</f>
      </c>
      <c r="K470" s="37">
        <f>+IF(F470="item",J470,IF(F470&lt;&gt;0,F470*J470,""))</f>
      </c>
      <c r="L470" s="31"/>
      <c r="M470" s="33"/>
      <c r="N470" s="42"/>
      <c r="O470" s="36"/>
      <c r="P470" s="37"/>
      <c r="Q470" s="54"/>
      <c r="S470" s="110"/>
      <c r="T470" s="12"/>
      <c r="U470" s="12"/>
      <c r="V470" s="12"/>
      <c r="W470" s="19"/>
      <c r="X470" s="111"/>
    </row>
    <row r="471" spans="1:24" ht="12.75">
      <c r="A471" s="60"/>
      <c r="B471" s="61"/>
      <c r="C471" s="62"/>
      <c r="D471" s="63"/>
      <c r="E471" s="46"/>
      <c r="F471" s="47"/>
      <c r="G471" s="48"/>
      <c r="H471" s="49"/>
      <c r="I471" s="49"/>
      <c r="J471" s="50"/>
      <c r="K471" s="51"/>
      <c r="L471" s="95"/>
      <c r="M471" s="16"/>
      <c r="N471" s="17"/>
      <c r="O471" s="23"/>
      <c r="P471" s="18"/>
      <c r="Q471" s="18"/>
      <c r="S471" s="123"/>
      <c r="T471" s="21"/>
      <c r="U471" s="21"/>
      <c r="V471" s="21"/>
      <c r="W471" s="20"/>
      <c r="X471" s="124"/>
    </row>
    <row r="472" spans="1:4" ht="12.75">
      <c r="A472" s="60"/>
      <c r="B472" s="61"/>
      <c r="C472" s="62"/>
      <c r="D472" s="63"/>
    </row>
    <row r="473" spans="1:4" ht="12.75">
      <c r="A473" s="60"/>
      <c r="B473" s="61"/>
      <c r="C473" s="62"/>
      <c r="D473" s="63"/>
    </row>
    <row r="474" spans="1:4" ht="12.75">
      <c r="A474" s="60"/>
      <c r="B474" s="61"/>
      <c r="C474" s="62"/>
      <c r="D474" s="63"/>
    </row>
    <row r="475" spans="1:4" ht="12.75">
      <c r="A475" s="60"/>
      <c r="B475" s="61"/>
      <c r="C475" s="62"/>
      <c r="D475" s="63"/>
    </row>
    <row r="476" spans="1:4" ht="12.75">
      <c r="A476" s="60"/>
      <c r="B476" s="61"/>
      <c r="C476" s="62"/>
      <c r="D476" s="63"/>
    </row>
    <row r="477" spans="1:4" ht="12.75">
      <c r="A477" s="60"/>
      <c r="B477" s="61"/>
      <c r="C477" s="62"/>
      <c r="D477" s="63"/>
    </row>
    <row r="478" spans="1:4" ht="12.75">
      <c r="A478" s="60"/>
      <c r="B478" s="61"/>
      <c r="C478" s="62"/>
      <c r="D478" s="63"/>
    </row>
    <row r="479" spans="1:4" ht="12.75">
      <c r="A479" s="60"/>
      <c r="B479" s="61"/>
      <c r="C479" s="62"/>
      <c r="D479" s="63"/>
    </row>
    <row r="480" spans="1:4" ht="12.75">
      <c r="A480" s="60"/>
      <c r="B480" s="61"/>
      <c r="C480" s="62"/>
      <c r="D480" s="63"/>
    </row>
    <row r="481" spans="1:4" ht="12.75">
      <c r="A481" s="60"/>
      <c r="B481" s="61"/>
      <c r="C481" s="62"/>
      <c r="D481" s="63"/>
    </row>
    <row r="482" spans="1:4" ht="12.75">
      <c r="A482" s="60"/>
      <c r="B482" s="61"/>
      <c r="C482" s="62"/>
      <c r="D482" s="63"/>
    </row>
    <row r="483" spans="1:4" ht="12.75">
      <c r="A483" s="60"/>
      <c r="B483" s="61"/>
      <c r="C483" s="62"/>
      <c r="D483" s="63"/>
    </row>
    <row r="484" spans="1:4" ht="12.75">
      <c r="A484" s="60"/>
      <c r="B484" s="61"/>
      <c r="C484" s="62"/>
      <c r="D484" s="63"/>
    </row>
    <row r="485" spans="1:4" ht="12.75">
      <c r="A485" s="60"/>
      <c r="B485" s="61"/>
      <c r="C485" s="62"/>
      <c r="D485" s="63"/>
    </row>
    <row r="486" spans="1:4" ht="12.75">
      <c r="A486" s="60"/>
      <c r="B486" s="61"/>
      <c r="C486" s="62"/>
      <c r="D486" s="63"/>
    </row>
    <row r="487" spans="1:4" ht="12.75">
      <c r="A487" s="60"/>
      <c r="B487" s="61"/>
      <c r="C487" s="62"/>
      <c r="D487" s="63"/>
    </row>
    <row r="488" spans="1:4" ht="12.75">
      <c r="A488" s="60"/>
      <c r="B488" s="61"/>
      <c r="C488" s="62"/>
      <c r="D488" s="63"/>
    </row>
    <row r="489" spans="1:4" ht="12.75">
      <c r="A489" s="60"/>
      <c r="B489" s="61"/>
      <c r="C489" s="62"/>
      <c r="D489" s="63"/>
    </row>
    <row r="490" spans="1:4" ht="12.75">
      <c r="A490" s="60"/>
      <c r="B490" s="61"/>
      <c r="C490" s="62"/>
      <c r="D490" s="63"/>
    </row>
    <row r="491" spans="1:4" ht="12.75">
      <c r="A491" s="60"/>
      <c r="B491" s="61"/>
      <c r="C491" s="62"/>
      <c r="D491" s="63"/>
    </row>
    <row r="492" spans="1:4" ht="12.75">
      <c r="A492" s="60"/>
      <c r="B492" s="61"/>
      <c r="C492" s="62"/>
      <c r="D492" s="63"/>
    </row>
    <row r="493" spans="1:4" ht="12.75">
      <c r="A493" s="60"/>
      <c r="B493" s="61"/>
      <c r="C493" s="62"/>
      <c r="D493" s="63"/>
    </row>
    <row r="494" spans="1:4" ht="12.75">
      <c r="A494" s="60"/>
      <c r="B494" s="61"/>
      <c r="C494" s="62"/>
      <c r="D494" s="63"/>
    </row>
    <row r="495" spans="1:4" ht="12.75">
      <c r="A495" s="60"/>
      <c r="B495" s="61"/>
      <c r="C495" s="62"/>
      <c r="D495" s="63"/>
    </row>
    <row r="496" spans="1:4" ht="12.75">
      <c r="A496" s="60"/>
      <c r="B496" s="61"/>
      <c r="C496" s="62"/>
      <c r="D496" s="63"/>
    </row>
    <row r="497" spans="1:4" ht="12.75">
      <c r="A497" s="60"/>
      <c r="B497" s="61"/>
      <c r="C497" s="62"/>
      <c r="D497" s="63"/>
    </row>
    <row r="498" spans="1:4" ht="12.75">
      <c r="A498" s="60"/>
      <c r="B498" s="61"/>
      <c r="C498" s="62"/>
      <c r="D498" s="63"/>
    </row>
    <row r="499" spans="1:4" ht="12.75">
      <c r="A499" s="60"/>
      <c r="B499" s="61"/>
      <c r="C499" s="62"/>
      <c r="D499" s="63"/>
    </row>
    <row r="500" spans="1:4" ht="12.75">
      <c r="A500" s="60"/>
      <c r="B500" s="61"/>
      <c r="C500" s="62"/>
      <c r="D500" s="63"/>
    </row>
    <row r="501" spans="1:4" ht="12.75">
      <c r="A501" s="60"/>
      <c r="B501" s="61"/>
      <c r="C501" s="62"/>
      <c r="D501" s="63"/>
    </row>
    <row r="502" spans="1:4" ht="12.75">
      <c r="A502" s="60"/>
      <c r="B502" s="61"/>
      <c r="C502" s="62"/>
      <c r="D502" s="63"/>
    </row>
    <row r="503" spans="1:4" ht="12.75">
      <c r="A503" s="60"/>
      <c r="B503" s="61"/>
      <c r="C503" s="62"/>
      <c r="D503" s="63"/>
    </row>
    <row r="504" spans="1:4" ht="12.75">
      <c r="A504" s="60"/>
      <c r="B504" s="61"/>
      <c r="C504" s="62"/>
      <c r="D504" s="63"/>
    </row>
    <row r="505" spans="1:4" ht="12.75">
      <c r="A505" s="60"/>
      <c r="B505" s="61"/>
      <c r="C505" s="62"/>
      <c r="D505" s="63"/>
    </row>
    <row r="506" spans="1:4" ht="12.75">
      <c r="A506" s="60"/>
      <c r="B506" s="61"/>
      <c r="C506" s="62"/>
      <c r="D506" s="63"/>
    </row>
    <row r="507" spans="1:4" ht="12.75">
      <c r="A507" s="60"/>
      <c r="B507" s="61"/>
      <c r="C507" s="62"/>
      <c r="D507" s="63"/>
    </row>
    <row r="508" spans="1:4" ht="12.75">
      <c r="A508" s="60"/>
      <c r="B508" s="61"/>
      <c r="C508" s="62"/>
      <c r="D508" s="63"/>
    </row>
    <row r="509" spans="1:4" ht="12.75">
      <c r="A509" s="60"/>
      <c r="B509" s="61"/>
      <c r="C509" s="62"/>
      <c r="D509" s="63"/>
    </row>
    <row r="510" spans="1:4" ht="12.75">
      <c r="A510" s="60"/>
      <c r="B510" s="61"/>
      <c r="C510" s="62"/>
      <c r="D510" s="63"/>
    </row>
    <row r="511" spans="1:4" ht="12.75">
      <c r="A511" s="60"/>
      <c r="B511" s="61"/>
      <c r="C511" s="62"/>
      <c r="D511" s="63"/>
    </row>
    <row r="512" spans="1:4" ht="12.75">
      <c r="A512" s="60"/>
      <c r="B512" s="61"/>
      <c r="C512" s="62"/>
      <c r="D512" s="63"/>
    </row>
    <row r="513" spans="1:4" ht="12.75">
      <c r="A513" s="60"/>
      <c r="B513" s="61"/>
      <c r="C513" s="62"/>
      <c r="D513" s="63"/>
    </row>
    <row r="514" spans="1:4" ht="12.75">
      <c r="A514" s="60"/>
      <c r="B514" s="61"/>
      <c r="C514" s="62"/>
      <c r="D514" s="63"/>
    </row>
    <row r="515" spans="1:4" ht="12.75">
      <c r="A515" s="60"/>
      <c r="B515" s="61"/>
      <c r="C515" s="62"/>
      <c r="D515" s="63"/>
    </row>
    <row r="516" spans="1:4" ht="12.75">
      <c r="A516" s="60"/>
      <c r="B516" s="61"/>
      <c r="C516" s="62"/>
      <c r="D516" s="63"/>
    </row>
    <row r="517" spans="1:4" ht="12.75">
      <c r="A517" s="60"/>
      <c r="B517" s="61"/>
      <c r="C517" s="62"/>
      <c r="D517" s="63"/>
    </row>
    <row r="518" spans="1:4" ht="12.75">
      <c r="A518" s="60"/>
      <c r="B518" s="61"/>
      <c r="C518" s="62"/>
      <c r="D518" s="63"/>
    </row>
    <row r="519" spans="1:4" ht="12.75">
      <c r="A519" s="60"/>
      <c r="B519" s="61"/>
      <c r="C519" s="62"/>
      <c r="D519" s="63"/>
    </row>
    <row r="520" spans="1:4" ht="12.75">
      <c r="A520" s="60"/>
      <c r="B520" s="61"/>
      <c r="C520" s="62"/>
      <c r="D520" s="63"/>
    </row>
    <row r="521" spans="1:4" ht="12.75">
      <c r="A521" s="60"/>
      <c r="B521" s="61"/>
      <c r="C521" s="62"/>
      <c r="D521" s="63"/>
    </row>
    <row r="522" spans="1:4" ht="12.75">
      <c r="A522" s="60"/>
      <c r="B522" s="61"/>
      <c r="C522" s="62"/>
      <c r="D522" s="63"/>
    </row>
    <row r="523" spans="1:4" ht="12.75">
      <c r="A523" s="60"/>
      <c r="B523" s="61"/>
      <c r="C523" s="62"/>
      <c r="D523" s="63"/>
    </row>
    <row r="524" spans="1:4" ht="12.75">
      <c r="A524" s="60"/>
      <c r="B524" s="61"/>
      <c r="C524" s="62"/>
      <c r="D524" s="63"/>
    </row>
    <row r="525" spans="1:4" ht="12.75">
      <c r="A525" s="60"/>
      <c r="B525" s="61"/>
      <c r="C525" s="62"/>
      <c r="D525" s="63"/>
    </row>
    <row r="526" spans="1:4" ht="12.75">
      <c r="A526" s="60"/>
      <c r="B526" s="61"/>
      <c r="C526" s="62"/>
      <c r="D526" s="63"/>
    </row>
    <row r="527" spans="1:4" ht="12.75">
      <c r="A527" s="60"/>
      <c r="B527" s="61"/>
      <c r="C527" s="62"/>
      <c r="D527" s="63"/>
    </row>
    <row r="528" spans="1:4" ht="12.75">
      <c r="A528" s="60"/>
      <c r="B528" s="61"/>
      <c r="C528" s="62"/>
      <c r="D528" s="63"/>
    </row>
    <row r="529" spans="1:4" ht="12.75">
      <c r="A529" s="60"/>
      <c r="B529" s="61"/>
      <c r="C529" s="62"/>
      <c r="D529" s="63"/>
    </row>
    <row r="530" spans="1:4" ht="12.75">
      <c r="A530" s="60"/>
      <c r="B530" s="61"/>
      <c r="C530" s="62"/>
      <c r="D530" s="63"/>
    </row>
    <row r="531" spans="1:4" ht="12.75">
      <c r="A531" s="60"/>
      <c r="B531" s="61"/>
      <c r="C531" s="62"/>
      <c r="D531" s="63"/>
    </row>
    <row r="532" spans="1:4" ht="12.75">
      <c r="A532" s="60"/>
      <c r="B532" s="61"/>
      <c r="C532" s="62"/>
      <c r="D532" s="63"/>
    </row>
    <row r="533" spans="1:4" ht="12.75">
      <c r="A533" s="60"/>
      <c r="B533" s="61"/>
      <c r="C533" s="62"/>
      <c r="D533" s="63"/>
    </row>
    <row r="534" spans="1:4" ht="12.75">
      <c r="A534" s="60"/>
      <c r="B534" s="61"/>
      <c r="C534" s="62"/>
      <c r="D534" s="63"/>
    </row>
    <row r="535" spans="1:4" ht="12.75">
      <c r="A535" s="60"/>
      <c r="B535" s="61"/>
      <c r="C535" s="62"/>
      <c r="D535" s="63"/>
    </row>
    <row r="536" spans="1:4" ht="12.75">
      <c r="A536" s="60"/>
      <c r="B536" s="61"/>
      <c r="C536" s="62"/>
      <c r="D536" s="63"/>
    </row>
    <row r="537" spans="1:4" ht="12.75">
      <c r="A537" s="60"/>
      <c r="B537" s="61"/>
      <c r="C537" s="62"/>
      <c r="D537" s="63"/>
    </row>
    <row r="538" spans="1:4" ht="12.75">
      <c r="A538" s="60"/>
      <c r="B538" s="61"/>
      <c r="C538" s="62"/>
      <c r="D538" s="63"/>
    </row>
    <row r="539" spans="1:4" ht="12.75">
      <c r="A539" s="60"/>
      <c r="B539" s="61"/>
      <c r="C539" s="62"/>
      <c r="D539" s="63"/>
    </row>
    <row r="540" spans="1:4" ht="12.75">
      <c r="A540" s="60"/>
      <c r="B540" s="61"/>
      <c r="C540" s="62"/>
      <c r="D540" s="63"/>
    </row>
    <row r="541" spans="1:4" ht="12.75">
      <c r="A541" s="60"/>
      <c r="B541" s="61"/>
      <c r="C541" s="62"/>
      <c r="D541" s="63"/>
    </row>
    <row r="542" spans="1:4" ht="12.75">
      <c r="A542" s="60"/>
      <c r="B542" s="61"/>
      <c r="C542" s="62"/>
      <c r="D542" s="63"/>
    </row>
    <row r="543" spans="1:4" ht="12.75">
      <c r="A543" s="60"/>
      <c r="B543" s="61"/>
      <c r="C543" s="62"/>
      <c r="D543" s="63"/>
    </row>
    <row r="544" spans="1:4" ht="12.75">
      <c r="A544" s="60"/>
      <c r="B544" s="61"/>
      <c r="C544" s="62"/>
      <c r="D544" s="63"/>
    </row>
    <row r="545" spans="1:4" ht="12.75">
      <c r="A545" s="60"/>
      <c r="B545" s="61"/>
      <c r="C545" s="62"/>
      <c r="D545" s="63"/>
    </row>
    <row r="546" spans="1:4" ht="12.75">
      <c r="A546" s="60"/>
      <c r="B546" s="61"/>
      <c r="C546" s="62"/>
      <c r="D546" s="63"/>
    </row>
    <row r="547" spans="1:4" ht="12.75">
      <c r="A547" s="60"/>
      <c r="B547" s="61"/>
      <c r="C547" s="62"/>
      <c r="D547" s="63"/>
    </row>
    <row r="548" spans="1:4" ht="12.75">
      <c r="A548" s="60"/>
      <c r="B548" s="61"/>
      <c r="C548" s="62"/>
      <c r="D548" s="63"/>
    </row>
    <row r="549" spans="1:4" ht="12.75">
      <c r="A549" s="60"/>
      <c r="B549" s="61"/>
      <c r="C549" s="62"/>
      <c r="D549" s="63"/>
    </row>
    <row r="550" spans="1:4" ht="12.75">
      <c r="A550" s="60"/>
      <c r="B550" s="61"/>
      <c r="C550" s="62"/>
      <c r="D550" s="63"/>
    </row>
    <row r="551" spans="1:4" ht="12.75">
      <c r="A551" s="60"/>
      <c r="B551" s="61"/>
      <c r="C551" s="62"/>
      <c r="D551" s="63"/>
    </row>
    <row r="552" spans="1:4" ht="12.75">
      <c r="A552" s="60"/>
      <c r="B552" s="61"/>
      <c r="C552" s="62"/>
      <c r="D552" s="63"/>
    </row>
    <row r="553" spans="1:4" ht="12.75">
      <c r="A553" s="60"/>
      <c r="B553" s="61"/>
      <c r="C553" s="62"/>
      <c r="D553" s="63"/>
    </row>
    <row r="554" spans="1:4" ht="12.75">
      <c r="A554" s="60"/>
      <c r="B554" s="61"/>
      <c r="C554" s="62"/>
      <c r="D554" s="63"/>
    </row>
    <row r="555" spans="1:4" ht="12.75">
      <c r="A555" s="60"/>
      <c r="B555" s="61"/>
      <c r="C555" s="62"/>
      <c r="D555" s="63"/>
    </row>
    <row r="556" spans="1:4" ht="12.75">
      <c r="A556" s="60"/>
      <c r="B556" s="61"/>
      <c r="C556" s="62"/>
      <c r="D556" s="63"/>
    </row>
    <row r="557" spans="1:4" ht="12.75">
      <c r="A557" s="60"/>
      <c r="B557" s="61"/>
      <c r="C557" s="62"/>
      <c r="D557" s="63"/>
    </row>
    <row r="558" spans="1:4" ht="12.75">
      <c r="A558" s="60"/>
      <c r="B558" s="61"/>
      <c r="C558" s="62"/>
      <c r="D558" s="63"/>
    </row>
    <row r="559" spans="1:4" ht="12.75">
      <c r="A559" s="60"/>
      <c r="B559" s="61"/>
      <c r="C559" s="62"/>
      <c r="D559" s="63"/>
    </row>
    <row r="560" spans="1:4" ht="12.75">
      <c r="A560" s="60"/>
      <c r="B560" s="61"/>
      <c r="C560" s="62"/>
      <c r="D560" s="63"/>
    </row>
    <row r="561" spans="1:4" ht="12.75">
      <c r="A561" s="60"/>
      <c r="B561" s="61"/>
      <c r="C561" s="62"/>
      <c r="D561" s="63"/>
    </row>
    <row r="562" spans="1:4" ht="12.75">
      <c r="A562" s="60"/>
      <c r="B562" s="61"/>
      <c r="C562" s="62"/>
      <c r="D562" s="63"/>
    </row>
    <row r="563" spans="1:4" ht="12.75">
      <c r="A563" s="60"/>
      <c r="B563" s="61"/>
      <c r="C563" s="62"/>
      <c r="D563" s="63"/>
    </row>
    <row r="564" spans="1:4" ht="12.75">
      <c r="A564" s="60"/>
      <c r="B564" s="61"/>
      <c r="C564" s="62"/>
      <c r="D564" s="63"/>
    </row>
    <row r="565" spans="1:4" ht="12.75">
      <c r="A565" s="60"/>
      <c r="B565" s="61"/>
      <c r="C565" s="62"/>
      <c r="D565" s="63"/>
    </row>
    <row r="566" spans="1:4" ht="12.75">
      <c r="A566" s="60"/>
      <c r="B566" s="61"/>
      <c r="C566" s="62"/>
      <c r="D566" s="63"/>
    </row>
    <row r="567" spans="1:4" ht="12.75">
      <c r="A567" s="60"/>
      <c r="B567" s="61"/>
      <c r="C567" s="62"/>
      <c r="D567" s="63"/>
    </row>
    <row r="568" spans="1:4" ht="12.75">
      <c r="A568" s="60"/>
      <c r="B568" s="61"/>
      <c r="C568" s="62"/>
      <c r="D568" s="63"/>
    </row>
    <row r="569" spans="1:4" ht="12.75">
      <c r="A569" s="60"/>
      <c r="B569" s="61"/>
      <c r="C569" s="62"/>
      <c r="D569" s="63"/>
    </row>
    <row r="570" spans="1:4" ht="12.75">
      <c r="A570" s="60"/>
      <c r="B570" s="61"/>
      <c r="C570" s="62"/>
      <c r="D570" s="63"/>
    </row>
    <row r="571" spans="1:4" ht="12.75">
      <c r="A571" s="60"/>
      <c r="B571" s="61"/>
      <c r="C571" s="62"/>
      <c r="D571" s="63"/>
    </row>
    <row r="572" spans="1:4" ht="12.75">
      <c r="A572" s="60"/>
      <c r="B572" s="61"/>
      <c r="C572" s="62"/>
      <c r="D572" s="63"/>
    </row>
    <row r="573" spans="1:4" ht="12.75">
      <c r="A573" s="60"/>
      <c r="B573" s="61"/>
      <c r="C573" s="62"/>
      <c r="D573" s="63"/>
    </row>
    <row r="574" spans="1:4" ht="12.75">
      <c r="A574" s="60"/>
      <c r="B574" s="61"/>
      <c r="C574" s="62"/>
      <c r="D574" s="63"/>
    </row>
    <row r="575" spans="1:4" ht="12.75">
      <c r="A575" s="60"/>
      <c r="B575" s="61"/>
      <c r="C575" s="62"/>
      <c r="D575" s="63"/>
    </row>
    <row r="576" spans="1:4" ht="12.75">
      <c r="A576" s="60"/>
      <c r="B576" s="61"/>
      <c r="C576" s="62"/>
      <c r="D576" s="63"/>
    </row>
    <row r="577" spans="1:4" ht="12.75">
      <c r="A577" s="60"/>
      <c r="B577" s="61"/>
      <c r="C577" s="62"/>
      <c r="D577" s="63"/>
    </row>
    <row r="578" spans="1:4" ht="12.75">
      <c r="A578" s="60"/>
      <c r="B578" s="61"/>
      <c r="C578" s="62"/>
      <c r="D578" s="63"/>
    </row>
    <row r="579" spans="1:4" ht="12.75">
      <c r="A579" s="60"/>
      <c r="B579" s="61"/>
      <c r="C579" s="62"/>
      <c r="D579" s="63"/>
    </row>
    <row r="580" spans="1:4" ht="12.75">
      <c r="A580" s="60"/>
      <c r="B580" s="61"/>
      <c r="C580" s="62"/>
      <c r="D580" s="63"/>
    </row>
    <row r="581" spans="1:4" ht="12.75">
      <c r="A581" s="60"/>
      <c r="B581" s="61"/>
      <c r="C581" s="62"/>
      <c r="D581" s="63"/>
    </row>
    <row r="582" spans="1:4" ht="12.75">
      <c r="A582" s="60"/>
      <c r="B582" s="61"/>
      <c r="C582" s="62"/>
      <c r="D582" s="63"/>
    </row>
    <row r="583" spans="1:4" ht="12.75">
      <c r="A583" s="60"/>
      <c r="B583" s="61"/>
      <c r="C583" s="62"/>
      <c r="D583" s="63"/>
    </row>
    <row r="584" spans="1:4" ht="12.75">
      <c r="A584" s="60"/>
      <c r="B584" s="61"/>
      <c r="C584" s="62"/>
      <c r="D584" s="63"/>
    </row>
    <row r="585" spans="1:4" ht="12.75">
      <c r="A585" s="60"/>
      <c r="B585" s="61"/>
      <c r="C585" s="62"/>
      <c r="D585" s="63"/>
    </row>
    <row r="586" spans="1:4" ht="12.75">
      <c r="A586" s="60"/>
      <c r="B586" s="61"/>
      <c r="C586" s="62"/>
      <c r="D586" s="63"/>
    </row>
    <row r="587" spans="1:4" ht="12.75">
      <c r="A587" s="60"/>
      <c r="B587" s="61"/>
      <c r="C587" s="62"/>
      <c r="D587" s="63"/>
    </row>
    <row r="588" spans="1:4" ht="12.75">
      <c r="A588" s="60"/>
      <c r="B588" s="61"/>
      <c r="C588" s="62"/>
      <c r="D588" s="63"/>
    </row>
    <row r="589" spans="1:4" ht="12.75">
      <c r="A589" s="60"/>
      <c r="B589" s="61"/>
      <c r="C589" s="62"/>
      <c r="D589" s="63"/>
    </row>
    <row r="590" spans="1:4" ht="12.75">
      <c r="A590" s="60"/>
      <c r="B590" s="61"/>
      <c r="C590" s="62"/>
      <c r="D590" s="63"/>
    </row>
    <row r="591" spans="1:4" ht="12.75">
      <c r="A591" s="60"/>
      <c r="B591" s="61"/>
      <c r="C591" s="62"/>
      <c r="D591" s="63"/>
    </row>
    <row r="592" spans="1:4" ht="12.75">
      <c r="A592" s="60"/>
      <c r="B592" s="61"/>
      <c r="C592" s="62"/>
      <c r="D592" s="63"/>
    </row>
    <row r="593" spans="1:4" ht="12.75">
      <c r="A593" s="60"/>
      <c r="B593" s="61"/>
      <c r="C593" s="62"/>
      <c r="D593" s="63"/>
    </row>
    <row r="594" spans="1:4" ht="12.75">
      <c r="A594" s="60"/>
      <c r="B594" s="61"/>
      <c r="C594" s="62"/>
      <c r="D594" s="63"/>
    </row>
    <row r="595" spans="1:4" ht="12.75">
      <c r="A595" s="60"/>
      <c r="B595" s="61"/>
      <c r="C595" s="62"/>
      <c r="D595" s="63"/>
    </row>
    <row r="596" spans="1:4" ht="12.75">
      <c r="A596" s="60"/>
      <c r="B596" s="61"/>
      <c r="C596" s="62"/>
      <c r="D596" s="63"/>
    </row>
    <row r="597" spans="1:4" ht="12.75">
      <c r="A597" s="60"/>
      <c r="B597" s="61"/>
      <c r="C597" s="62"/>
      <c r="D597" s="63"/>
    </row>
    <row r="598" spans="1:4" ht="12.75">
      <c r="A598" s="60"/>
      <c r="B598" s="61"/>
      <c r="C598" s="62"/>
      <c r="D598" s="63"/>
    </row>
    <row r="599" spans="1:4" ht="12.75">
      <c r="A599" s="60"/>
      <c r="B599" s="61"/>
      <c r="C599" s="62"/>
      <c r="D599" s="63"/>
    </row>
    <row r="600" spans="1:4" ht="12.75">
      <c r="A600" s="60"/>
      <c r="B600" s="61"/>
      <c r="C600" s="62"/>
      <c r="D600" s="63"/>
    </row>
    <row r="601" spans="1:4" ht="12.75">
      <c r="A601" s="60"/>
      <c r="B601" s="61"/>
      <c r="C601" s="62"/>
      <c r="D601" s="63"/>
    </row>
    <row r="602" spans="1:4" ht="12.75">
      <c r="A602" s="60"/>
      <c r="B602" s="61"/>
      <c r="C602" s="62"/>
      <c r="D602" s="63"/>
    </row>
    <row r="603" spans="1:4" ht="12.75">
      <c r="A603" s="60"/>
      <c r="B603" s="61"/>
      <c r="C603" s="62"/>
      <c r="D603" s="63"/>
    </row>
    <row r="604" spans="1:4" ht="12.75">
      <c r="A604" s="60"/>
      <c r="B604" s="61"/>
      <c r="C604" s="62"/>
      <c r="D604" s="63"/>
    </row>
    <row r="605" spans="1:4" ht="12.75">
      <c r="A605" s="60"/>
      <c r="B605" s="61"/>
      <c r="C605" s="62"/>
      <c r="D605" s="63"/>
    </row>
    <row r="606" spans="1:4" ht="12.75">
      <c r="A606" s="60"/>
      <c r="B606" s="61"/>
      <c r="C606" s="62"/>
      <c r="D606" s="63"/>
    </row>
    <row r="607" spans="1:4" ht="12.75">
      <c r="A607" s="60"/>
      <c r="B607" s="61"/>
      <c r="C607" s="62"/>
      <c r="D607" s="63"/>
    </row>
    <row r="608" spans="1:4" ht="12.75">
      <c r="A608" s="60"/>
      <c r="B608" s="61"/>
      <c r="C608" s="62"/>
      <c r="D608" s="63"/>
    </row>
    <row r="609" spans="1:4" ht="12.75">
      <c r="A609" s="60"/>
      <c r="B609" s="61"/>
      <c r="C609" s="62"/>
      <c r="D609" s="63"/>
    </row>
    <row r="610" spans="1:4" ht="12.75">
      <c r="A610" s="60"/>
      <c r="B610" s="61"/>
      <c r="C610" s="62"/>
      <c r="D610" s="63"/>
    </row>
    <row r="611" spans="1:4" ht="12.75">
      <c r="A611" s="60"/>
      <c r="B611" s="61"/>
      <c r="C611" s="62"/>
      <c r="D611" s="63"/>
    </row>
    <row r="612" spans="1:4" ht="12.75">
      <c r="A612" s="60"/>
      <c r="B612" s="61"/>
      <c r="C612" s="62"/>
      <c r="D612" s="63"/>
    </row>
    <row r="613" spans="1:4" ht="12.75">
      <c r="A613" s="60"/>
      <c r="B613" s="61"/>
      <c r="C613" s="62"/>
      <c r="D613" s="63"/>
    </row>
    <row r="614" spans="1:4" ht="12.75">
      <c r="A614" s="60"/>
      <c r="B614" s="61"/>
      <c r="C614" s="62"/>
      <c r="D614" s="63"/>
    </row>
    <row r="615" spans="1:4" ht="12.75">
      <c r="A615" s="60"/>
      <c r="B615" s="61"/>
      <c r="C615" s="62"/>
      <c r="D615" s="63"/>
    </row>
    <row r="616" spans="1:4" ht="12.75">
      <c r="A616" s="60"/>
      <c r="B616" s="61"/>
      <c r="C616" s="62"/>
      <c r="D616" s="63"/>
    </row>
    <row r="617" spans="1:4" ht="12.75">
      <c r="A617" s="60"/>
      <c r="B617" s="61"/>
      <c r="C617" s="62"/>
      <c r="D617" s="63"/>
    </row>
    <row r="618" spans="1:4" ht="12.75">
      <c r="A618" s="60"/>
      <c r="B618" s="61"/>
      <c r="C618" s="62"/>
      <c r="D618" s="63"/>
    </row>
    <row r="619" spans="1:4" ht="12.75">
      <c r="A619" s="60"/>
      <c r="B619" s="61"/>
      <c r="C619" s="62"/>
      <c r="D619" s="63"/>
    </row>
    <row r="620" spans="1:4" ht="12.75">
      <c r="A620" s="60"/>
      <c r="B620" s="61"/>
      <c r="C620" s="62"/>
      <c r="D620" s="63"/>
    </row>
    <row r="621" spans="1:4" ht="12.75">
      <c r="A621" s="60"/>
      <c r="B621" s="61"/>
      <c r="C621" s="62"/>
      <c r="D621" s="63"/>
    </row>
    <row r="622" spans="1:4" ht="12.75">
      <c r="A622" s="60"/>
      <c r="B622" s="61"/>
      <c r="C622" s="62"/>
      <c r="D622" s="63"/>
    </row>
    <row r="623" spans="1:4" ht="12.75">
      <c r="A623" s="60"/>
      <c r="B623" s="61"/>
      <c r="C623" s="62"/>
      <c r="D623" s="63"/>
    </row>
    <row r="624" spans="1:4" ht="12.75">
      <c r="A624" s="60"/>
      <c r="B624" s="61"/>
      <c r="C624" s="62"/>
      <c r="D624" s="63"/>
    </row>
    <row r="625" spans="1:4" ht="12.75">
      <c r="A625" s="60"/>
      <c r="B625" s="61"/>
      <c r="C625" s="62"/>
      <c r="D625" s="63"/>
    </row>
    <row r="626" spans="1:4" ht="12.75">
      <c r="A626" s="60"/>
      <c r="B626" s="61"/>
      <c r="C626" s="62"/>
      <c r="D626" s="63"/>
    </row>
    <row r="627" spans="1:4" ht="12.75">
      <c r="A627" s="60"/>
      <c r="B627" s="61"/>
      <c r="C627" s="62"/>
      <c r="D627" s="63"/>
    </row>
    <row r="628" spans="1:4" ht="12.75">
      <c r="A628" s="60"/>
      <c r="B628" s="61"/>
      <c r="C628" s="62"/>
      <c r="D628" s="63"/>
    </row>
    <row r="629" spans="1:4" ht="12.75">
      <c r="A629" s="60"/>
      <c r="B629" s="61"/>
      <c r="C629" s="62"/>
      <c r="D629" s="63"/>
    </row>
    <row r="630" spans="1:4" ht="12.75">
      <c r="A630" s="60"/>
      <c r="B630" s="61"/>
      <c r="C630" s="62"/>
      <c r="D630" s="63"/>
    </row>
    <row r="631" spans="1:4" ht="12.75">
      <c r="A631" s="60"/>
      <c r="B631" s="61"/>
      <c r="C631" s="62"/>
      <c r="D631" s="63"/>
    </row>
    <row r="632" spans="1:4" ht="12.75">
      <c r="A632" s="60"/>
      <c r="B632" s="61"/>
      <c r="C632" s="62"/>
      <c r="D632" s="63"/>
    </row>
    <row r="633" spans="1:4" ht="12.75">
      <c r="A633" s="60"/>
      <c r="B633" s="61"/>
      <c r="C633" s="62"/>
      <c r="D633" s="63"/>
    </row>
    <row r="634" spans="1:4" ht="12.75">
      <c r="A634" s="60"/>
      <c r="B634" s="61"/>
      <c r="C634" s="62"/>
      <c r="D634" s="63"/>
    </row>
    <row r="635" spans="1:4" ht="12.75">
      <c r="A635" s="60"/>
      <c r="B635" s="61"/>
      <c r="C635" s="62"/>
      <c r="D635" s="63"/>
    </row>
    <row r="636" spans="1:4" ht="12.75">
      <c r="A636" s="60"/>
      <c r="B636" s="61"/>
      <c r="C636" s="62"/>
      <c r="D636" s="63"/>
    </row>
    <row r="637" spans="1:4" ht="12.75">
      <c r="A637" s="60"/>
      <c r="B637" s="61"/>
      <c r="C637" s="62"/>
      <c r="D637" s="63"/>
    </row>
    <row r="638" spans="1:4" ht="12.75">
      <c r="A638" s="60"/>
      <c r="B638" s="61"/>
      <c r="C638" s="62"/>
      <c r="D638" s="63"/>
    </row>
    <row r="639" spans="1:4" ht="12.75">
      <c r="A639" s="60"/>
      <c r="B639" s="61"/>
      <c r="C639" s="62"/>
      <c r="D639" s="63"/>
    </row>
    <row r="640" spans="1:4" ht="12.75">
      <c r="A640" s="60"/>
      <c r="B640" s="61"/>
      <c r="C640" s="62"/>
      <c r="D640" s="63"/>
    </row>
    <row r="641" spans="1:4" ht="12.75">
      <c r="A641" s="60"/>
      <c r="B641" s="61"/>
      <c r="C641" s="62"/>
      <c r="D641" s="63"/>
    </row>
    <row r="642" spans="1:4" ht="12.75">
      <c r="A642" s="60"/>
      <c r="B642" s="61"/>
      <c r="C642" s="62"/>
      <c r="D642" s="63"/>
    </row>
    <row r="643" spans="1:4" ht="12.75">
      <c r="A643" s="60"/>
      <c r="B643" s="61"/>
      <c r="C643" s="62"/>
      <c r="D643" s="63"/>
    </row>
    <row r="644" spans="1:4" ht="12.75">
      <c r="A644" s="60"/>
      <c r="B644" s="61"/>
      <c r="C644" s="62"/>
      <c r="D644" s="63"/>
    </row>
    <row r="645" spans="1:4" ht="12.75">
      <c r="A645" s="60"/>
      <c r="B645" s="61"/>
      <c r="C645" s="62"/>
      <c r="D645" s="63"/>
    </row>
    <row r="646" spans="1:4" ht="12.75">
      <c r="A646" s="60"/>
      <c r="B646" s="61"/>
      <c r="C646" s="62"/>
      <c r="D646" s="63"/>
    </row>
    <row r="647" spans="1:4" ht="12.75">
      <c r="A647" s="60"/>
      <c r="B647" s="61"/>
      <c r="C647" s="62"/>
      <c r="D647" s="63"/>
    </row>
    <row r="648" spans="1:4" ht="12.75">
      <c r="A648" s="60"/>
      <c r="B648" s="61"/>
      <c r="C648" s="62"/>
      <c r="D648" s="63"/>
    </row>
    <row r="649" spans="1:4" ht="12.75">
      <c r="A649" s="60"/>
      <c r="B649" s="61"/>
      <c r="C649" s="62"/>
      <c r="D649" s="63"/>
    </row>
    <row r="650" spans="1:4" ht="12.75">
      <c r="A650" s="60"/>
      <c r="B650" s="61"/>
      <c r="C650" s="62"/>
      <c r="D650" s="63"/>
    </row>
    <row r="651" spans="1:4" ht="12.75">
      <c r="A651" s="60"/>
      <c r="B651" s="61"/>
      <c r="C651" s="62"/>
      <c r="D651" s="63"/>
    </row>
    <row r="652" spans="1:4" ht="12.75">
      <c r="A652" s="60"/>
      <c r="B652" s="61"/>
      <c r="C652" s="62"/>
      <c r="D652" s="63"/>
    </row>
    <row r="653" spans="1:4" ht="12.75">
      <c r="A653" s="60"/>
      <c r="B653" s="61"/>
      <c r="C653" s="62"/>
      <c r="D653" s="63"/>
    </row>
    <row r="654" spans="1:4" ht="12.75">
      <c r="A654" s="60"/>
      <c r="B654" s="61"/>
      <c r="C654" s="62"/>
      <c r="D654" s="63"/>
    </row>
    <row r="655" spans="1:4" ht="12.75">
      <c r="A655" s="60"/>
      <c r="B655" s="61"/>
      <c r="C655" s="62"/>
      <c r="D655" s="63"/>
    </row>
    <row r="656" spans="1:4" ht="12.75">
      <c r="A656" s="60"/>
      <c r="B656" s="61"/>
      <c r="C656" s="62"/>
      <c r="D656" s="63"/>
    </row>
    <row r="657" spans="1:4" ht="12.75">
      <c r="A657" s="60"/>
      <c r="B657" s="61"/>
      <c r="C657" s="62"/>
      <c r="D657" s="63"/>
    </row>
    <row r="658" spans="1:4" ht="12.75">
      <c r="A658" s="60"/>
      <c r="B658" s="61"/>
      <c r="C658" s="62"/>
      <c r="D658" s="63"/>
    </row>
    <row r="659" spans="1:4" ht="12.75">
      <c r="A659" s="60"/>
      <c r="B659" s="61"/>
      <c r="C659" s="62"/>
      <c r="D659" s="63"/>
    </row>
    <row r="660" spans="1:4" ht="12.75">
      <c r="A660" s="60"/>
      <c r="B660" s="61"/>
      <c r="C660" s="62"/>
      <c r="D660" s="63"/>
    </row>
    <row r="661" spans="1:4" ht="12.75">
      <c r="A661" s="60"/>
      <c r="B661" s="61"/>
      <c r="C661" s="62"/>
      <c r="D661" s="63"/>
    </row>
    <row r="662" spans="1:4" ht="12.75">
      <c r="A662" s="60"/>
      <c r="B662" s="61"/>
      <c r="C662" s="62"/>
      <c r="D662" s="63"/>
    </row>
    <row r="663" spans="1:4" ht="12.75">
      <c r="A663" s="60"/>
      <c r="B663" s="61"/>
      <c r="C663" s="62"/>
      <c r="D663" s="63"/>
    </row>
    <row r="664" spans="1:4" ht="12.75">
      <c r="A664" s="60"/>
      <c r="B664" s="61"/>
      <c r="C664" s="62"/>
      <c r="D664" s="63"/>
    </row>
    <row r="665" spans="1:4" ht="12.75">
      <c r="A665" s="60"/>
      <c r="B665" s="61"/>
      <c r="C665" s="62"/>
      <c r="D665" s="63"/>
    </row>
    <row r="666" spans="1:4" ht="12.75">
      <c r="A666" s="60"/>
      <c r="B666" s="61"/>
      <c r="C666" s="62"/>
      <c r="D666" s="63"/>
    </row>
    <row r="667" spans="1:4" ht="12.75">
      <c r="A667" s="60"/>
      <c r="B667" s="61"/>
      <c r="C667" s="62"/>
      <c r="D667" s="63"/>
    </row>
    <row r="668" spans="1:4" ht="12.75">
      <c r="A668" s="60"/>
      <c r="B668" s="61"/>
      <c r="C668" s="62"/>
      <c r="D668" s="63"/>
    </row>
    <row r="669" spans="1:4" ht="12.75">
      <c r="A669" s="60"/>
      <c r="B669" s="61"/>
      <c r="C669" s="62"/>
      <c r="D669" s="63"/>
    </row>
    <row r="670" spans="1:4" ht="12.75">
      <c r="A670" s="60"/>
      <c r="B670" s="61"/>
      <c r="C670" s="62"/>
      <c r="D670" s="63"/>
    </row>
    <row r="671" spans="1:4" ht="12.75">
      <c r="A671" s="60"/>
      <c r="B671" s="61"/>
      <c r="C671" s="62"/>
      <c r="D671" s="63"/>
    </row>
    <row r="672" spans="1:4" ht="12.75">
      <c r="A672" s="60"/>
      <c r="B672" s="61"/>
      <c r="C672" s="62"/>
      <c r="D672" s="63"/>
    </row>
    <row r="673" spans="1:4" ht="12.75">
      <c r="A673" s="60"/>
      <c r="B673" s="61"/>
      <c r="C673" s="62"/>
      <c r="D673" s="63"/>
    </row>
    <row r="674" spans="1:4" ht="12.75">
      <c r="A674" s="60"/>
      <c r="B674" s="61"/>
      <c r="C674" s="62"/>
      <c r="D674" s="63"/>
    </row>
    <row r="675" spans="1:4" ht="12.75">
      <c r="A675" s="60"/>
      <c r="B675" s="61"/>
      <c r="C675" s="62"/>
      <c r="D675" s="63"/>
    </row>
    <row r="676" spans="1:4" ht="12.75">
      <c r="A676" s="60"/>
      <c r="B676" s="61"/>
      <c r="C676" s="62"/>
      <c r="D676" s="63"/>
    </row>
    <row r="677" spans="1:4" ht="12.75">
      <c r="A677" s="60"/>
      <c r="B677" s="61"/>
      <c r="C677" s="62"/>
      <c r="D677" s="63"/>
    </row>
    <row r="678" spans="1:4" ht="12.75">
      <c r="A678" s="60"/>
      <c r="B678" s="61"/>
      <c r="C678" s="62"/>
      <c r="D678" s="63"/>
    </row>
    <row r="679" spans="1:4" ht="12.75">
      <c r="A679" s="60"/>
      <c r="B679" s="61"/>
      <c r="C679" s="62"/>
      <c r="D679" s="63"/>
    </row>
    <row r="680" spans="1:4" ht="12.75">
      <c r="A680" s="60"/>
      <c r="B680" s="61"/>
      <c r="C680" s="62"/>
      <c r="D680" s="63"/>
    </row>
    <row r="681" spans="1:4" ht="12.75">
      <c r="A681" s="60"/>
      <c r="B681" s="61"/>
      <c r="C681" s="62"/>
      <c r="D681" s="63"/>
    </row>
    <row r="682" spans="1:4" ht="12.75">
      <c r="A682" s="60"/>
      <c r="B682" s="61"/>
      <c r="C682" s="62"/>
      <c r="D682" s="63"/>
    </row>
    <row r="683" spans="1:4" ht="12.75">
      <c r="A683" s="60"/>
      <c r="B683" s="61"/>
      <c r="C683" s="62"/>
      <c r="D683" s="63"/>
    </row>
    <row r="684" spans="1:4" ht="12.75">
      <c r="A684" s="60"/>
      <c r="B684" s="61"/>
      <c r="C684" s="62"/>
      <c r="D684" s="63"/>
    </row>
    <row r="685" spans="1:4" ht="12.75">
      <c r="A685" s="60"/>
      <c r="B685" s="61"/>
      <c r="C685" s="62"/>
      <c r="D685" s="63"/>
    </row>
    <row r="686" spans="1:4" ht="12.75">
      <c r="A686" s="60"/>
      <c r="B686" s="61"/>
      <c r="C686" s="62"/>
      <c r="D686" s="63"/>
    </row>
    <row r="687" spans="1:4" ht="12.75">
      <c r="A687" s="60"/>
      <c r="B687" s="61"/>
      <c r="C687" s="62"/>
      <c r="D687" s="63"/>
    </row>
    <row r="688" spans="1:4" ht="12.75">
      <c r="A688" s="60"/>
      <c r="B688" s="61"/>
      <c r="C688" s="62"/>
      <c r="D688" s="63"/>
    </row>
    <row r="689" spans="1:4" ht="12.75">
      <c r="A689" s="60"/>
      <c r="B689" s="61"/>
      <c r="C689" s="62"/>
      <c r="D689" s="63"/>
    </row>
    <row r="690" spans="1:4" ht="12.75">
      <c r="A690" s="60"/>
      <c r="B690" s="61"/>
      <c r="C690" s="62"/>
      <c r="D690" s="63"/>
    </row>
    <row r="691" spans="1:4" ht="12.75">
      <c r="A691" s="60"/>
      <c r="B691" s="61"/>
      <c r="C691" s="62"/>
      <c r="D691" s="63"/>
    </row>
    <row r="692" spans="1:4" ht="12.75">
      <c r="A692" s="60"/>
      <c r="B692" s="61"/>
      <c r="C692" s="62"/>
      <c r="D692" s="63"/>
    </row>
    <row r="693" spans="1:4" ht="12.75">
      <c r="A693" s="60"/>
      <c r="B693" s="61"/>
      <c r="C693" s="62"/>
      <c r="D693" s="63"/>
    </row>
    <row r="694" spans="1:4" ht="12.75">
      <c r="A694" s="60"/>
      <c r="B694" s="61"/>
      <c r="C694" s="62"/>
      <c r="D694" s="63"/>
    </row>
    <row r="695" spans="1:4" ht="12.75">
      <c r="A695" s="60"/>
      <c r="B695" s="61"/>
      <c r="C695" s="62"/>
      <c r="D695" s="63"/>
    </row>
    <row r="696" spans="1:4" ht="12.75">
      <c r="A696" s="60"/>
      <c r="B696" s="61"/>
      <c r="C696" s="62"/>
      <c r="D696" s="63"/>
    </row>
    <row r="697" spans="1:4" ht="12.75">
      <c r="A697" s="60"/>
      <c r="B697" s="61"/>
      <c r="C697" s="62"/>
      <c r="D697" s="63"/>
    </row>
    <row r="698" spans="1:4" ht="12.75">
      <c r="A698" s="60"/>
      <c r="B698" s="61"/>
      <c r="C698" s="62"/>
      <c r="D698" s="63"/>
    </row>
    <row r="699" spans="1:4" ht="12.75">
      <c r="A699" s="60"/>
      <c r="B699" s="61"/>
      <c r="C699" s="62"/>
      <c r="D699" s="63"/>
    </row>
    <row r="700" spans="1:4" ht="12.75">
      <c r="A700" s="60"/>
      <c r="B700" s="61"/>
      <c r="C700" s="62"/>
      <c r="D700" s="63"/>
    </row>
    <row r="701" spans="1:4" ht="12.75">
      <c r="A701" s="60"/>
      <c r="B701" s="61"/>
      <c r="C701" s="62"/>
      <c r="D701" s="63"/>
    </row>
    <row r="702" spans="1:4" ht="12.75">
      <c r="A702" s="60"/>
      <c r="B702" s="61"/>
      <c r="C702" s="62"/>
      <c r="D702" s="63"/>
    </row>
    <row r="703" spans="1:4" ht="12.75">
      <c r="A703" s="60"/>
      <c r="B703" s="61"/>
      <c r="C703" s="62"/>
      <c r="D703" s="63"/>
    </row>
    <row r="704" spans="1:4" ht="12.75">
      <c r="A704" s="60"/>
      <c r="B704" s="61"/>
      <c r="C704" s="62"/>
      <c r="D704" s="63"/>
    </row>
    <row r="705" spans="1:4" ht="12.75">
      <c r="A705" s="60"/>
      <c r="B705" s="61"/>
      <c r="C705" s="62"/>
      <c r="D705" s="63"/>
    </row>
    <row r="706" spans="1:4" ht="12.75">
      <c r="A706" s="60"/>
      <c r="B706" s="61"/>
      <c r="C706" s="62"/>
      <c r="D706" s="63"/>
    </row>
    <row r="707" spans="1:4" ht="12.75">
      <c r="A707" s="60"/>
      <c r="B707" s="61"/>
      <c r="C707" s="62"/>
      <c r="D707" s="63"/>
    </row>
    <row r="708" spans="1:4" ht="12.75">
      <c r="A708" s="60"/>
      <c r="B708" s="61"/>
      <c r="C708" s="62"/>
      <c r="D708" s="63"/>
    </row>
    <row r="709" spans="1:4" ht="12.75">
      <c r="A709" s="60"/>
      <c r="B709" s="61"/>
      <c r="C709" s="62"/>
      <c r="D709" s="63"/>
    </row>
    <row r="710" spans="1:4" ht="12.75">
      <c r="A710" s="60"/>
      <c r="B710" s="61"/>
      <c r="C710" s="62"/>
      <c r="D710" s="63"/>
    </row>
    <row r="711" spans="1:4" ht="12.75">
      <c r="A711" s="60"/>
      <c r="B711" s="61"/>
      <c r="C711" s="62"/>
      <c r="D711" s="63"/>
    </row>
    <row r="712" spans="1:4" ht="12.75">
      <c r="A712" s="60"/>
      <c r="B712" s="61"/>
      <c r="C712" s="62"/>
      <c r="D712" s="63"/>
    </row>
    <row r="713" spans="1:4" ht="12.75">
      <c r="A713" s="60"/>
      <c r="B713" s="61"/>
      <c r="C713" s="62"/>
      <c r="D713" s="63"/>
    </row>
    <row r="714" spans="1:4" ht="12.75">
      <c r="A714" s="60"/>
      <c r="B714" s="61"/>
      <c r="C714" s="62"/>
      <c r="D714" s="63"/>
    </row>
    <row r="715" spans="1:4" ht="12.75">
      <c r="A715" s="60"/>
      <c r="B715" s="61"/>
      <c r="C715" s="62"/>
      <c r="D715" s="63"/>
    </row>
    <row r="716" spans="1:4" ht="12.75">
      <c r="A716" s="60"/>
      <c r="B716" s="61"/>
      <c r="C716" s="62"/>
      <c r="D716" s="63"/>
    </row>
    <row r="717" spans="1:4" ht="12.75">
      <c r="A717" s="60"/>
      <c r="B717" s="61"/>
      <c r="C717" s="62"/>
      <c r="D717" s="63"/>
    </row>
    <row r="718" spans="1:4" ht="12.75">
      <c r="A718" s="60"/>
      <c r="B718" s="61"/>
      <c r="C718" s="62"/>
      <c r="D718" s="63"/>
    </row>
    <row r="719" spans="1:4" ht="12.75">
      <c r="A719" s="60"/>
      <c r="B719" s="61"/>
      <c r="C719" s="62"/>
      <c r="D719" s="63"/>
    </row>
    <row r="720" spans="1:4" ht="12.75">
      <c r="A720" s="60"/>
      <c r="B720" s="61"/>
      <c r="C720" s="62"/>
      <c r="D720" s="63"/>
    </row>
    <row r="721" spans="1:4" ht="12.75">
      <c r="A721" s="60"/>
      <c r="B721" s="61"/>
      <c r="C721" s="62"/>
      <c r="D721" s="63"/>
    </row>
    <row r="722" spans="1:4" ht="12.75">
      <c r="A722" s="60"/>
      <c r="B722" s="61"/>
      <c r="C722" s="62"/>
      <c r="D722" s="63"/>
    </row>
    <row r="723" spans="1:4" ht="12.75">
      <c r="A723" s="60"/>
      <c r="B723" s="61"/>
      <c r="C723" s="62"/>
      <c r="D723" s="63"/>
    </row>
    <row r="724" spans="1:4" ht="12.75">
      <c r="A724" s="60"/>
      <c r="B724" s="61"/>
      <c r="C724" s="62"/>
      <c r="D724" s="63"/>
    </row>
    <row r="725" spans="1:4" ht="12.75">
      <c r="A725" s="60"/>
      <c r="B725" s="61"/>
      <c r="C725" s="62"/>
      <c r="D725" s="63"/>
    </row>
    <row r="726" spans="1:4" ht="12.75">
      <c r="A726" s="60"/>
      <c r="B726" s="61"/>
      <c r="C726" s="62"/>
      <c r="D726" s="63"/>
    </row>
    <row r="727" spans="1:4" ht="12.75">
      <c r="A727" s="60"/>
      <c r="B727" s="61"/>
      <c r="C727" s="62"/>
      <c r="D727" s="63"/>
    </row>
    <row r="728" spans="1:4" ht="12.75">
      <c r="A728" s="60"/>
      <c r="B728" s="61"/>
      <c r="C728" s="62"/>
      <c r="D728" s="63"/>
    </row>
    <row r="729" spans="1:4" ht="12.75">
      <c r="A729" s="60"/>
      <c r="B729" s="61"/>
      <c r="C729" s="62"/>
      <c r="D729" s="63"/>
    </row>
    <row r="730" spans="1:4" ht="12.75">
      <c r="A730" s="60"/>
      <c r="B730" s="61"/>
      <c r="C730" s="62"/>
      <c r="D730" s="63"/>
    </row>
    <row r="731" spans="1:4" ht="12.75">
      <c r="A731" s="60"/>
      <c r="B731" s="61"/>
      <c r="C731" s="62"/>
      <c r="D731" s="63"/>
    </row>
    <row r="732" spans="1:4" ht="12.75">
      <c r="A732" s="60"/>
      <c r="B732" s="61"/>
      <c r="C732" s="62"/>
      <c r="D732" s="63"/>
    </row>
    <row r="733" spans="1:4" ht="12.75">
      <c r="A733" s="60"/>
      <c r="B733" s="61"/>
      <c r="C733" s="62"/>
      <c r="D733" s="63"/>
    </row>
    <row r="734" spans="1:4" ht="12.75">
      <c r="A734" s="60"/>
      <c r="B734" s="61"/>
      <c r="C734" s="62"/>
      <c r="D734" s="63"/>
    </row>
    <row r="735" spans="1:4" ht="12.75">
      <c r="A735" s="60"/>
      <c r="B735" s="61"/>
      <c r="C735" s="62"/>
      <c r="D735" s="63"/>
    </row>
    <row r="736" spans="1:4" ht="12.75">
      <c r="A736" s="60"/>
      <c r="B736" s="61"/>
      <c r="C736" s="62"/>
      <c r="D736" s="63"/>
    </row>
    <row r="737" spans="1:4" ht="12.75">
      <c r="A737" s="60"/>
      <c r="B737" s="61"/>
      <c r="C737" s="62"/>
      <c r="D737" s="63"/>
    </row>
    <row r="738" spans="1:4" ht="12.75">
      <c r="A738" s="60"/>
      <c r="B738" s="61"/>
      <c r="C738" s="62"/>
      <c r="D738" s="63"/>
    </row>
    <row r="739" spans="1:4" ht="12.75">
      <c r="A739" s="60"/>
      <c r="B739" s="61"/>
      <c r="C739" s="62"/>
      <c r="D739" s="63"/>
    </row>
    <row r="740" spans="1:4" ht="12.75">
      <c r="A740" s="60"/>
      <c r="B740" s="61"/>
      <c r="C740" s="62"/>
      <c r="D740" s="63"/>
    </row>
    <row r="741" spans="1:4" ht="12.75">
      <c r="A741" s="60"/>
      <c r="B741" s="61"/>
      <c r="C741" s="62"/>
      <c r="D741" s="63"/>
    </row>
    <row r="742" spans="1:4" ht="12.75">
      <c r="A742" s="60"/>
      <c r="B742" s="61"/>
      <c r="C742" s="62"/>
      <c r="D742" s="63"/>
    </row>
    <row r="743" spans="1:4" ht="12.75">
      <c r="A743" s="60"/>
      <c r="B743" s="61"/>
      <c r="C743" s="62"/>
      <c r="D743" s="63"/>
    </row>
    <row r="744" spans="1:4" ht="12.75">
      <c r="A744" s="60"/>
      <c r="B744" s="61"/>
      <c r="C744" s="62"/>
      <c r="D744" s="63"/>
    </row>
    <row r="745" spans="1:4" ht="12.75">
      <c r="A745" s="60"/>
      <c r="B745" s="61"/>
      <c r="C745" s="62"/>
      <c r="D745" s="63"/>
    </row>
    <row r="746" spans="1:4" ht="12.75">
      <c r="A746" s="60"/>
      <c r="B746" s="61"/>
      <c r="C746" s="62"/>
      <c r="D746" s="63"/>
    </row>
    <row r="747" spans="1:4" ht="12.75">
      <c r="A747" s="60"/>
      <c r="B747" s="61"/>
      <c r="C747" s="62"/>
      <c r="D747" s="63"/>
    </row>
    <row r="748" spans="1:4" ht="12.75">
      <c r="A748" s="60"/>
      <c r="B748" s="61"/>
      <c r="C748" s="62"/>
      <c r="D748" s="63"/>
    </row>
    <row r="749" spans="1:4" ht="12.75">
      <c r="A749" s="60"/>
      <c r="B749" s="61"/>
      <c r="C749" s="62"/>
      <c r="D749" s="63"/>
    </row>
    <row r="750" spans="1:4" ht="12.75">
      <c r="A750" s="60"/>
      <c r="B750" s="61"/>
      <c r="C750" s="62"/>
      <c r="D750" s="63"/>
    </row>
    <row r="751" spans="1:4" ht="12.75">
      <c r="A751" s="60"/>
      <c r="B751" s="61"/>
      <c r="C751" s="62"/>
      <c r="D751" s="63"/>
    </row>
    <row r="752" spans="1:4" ht="12.75">
      <c r="A752" s="60"/>
      <c r="B752" s="61"/>
      <c r="C752" s="62"/>
      <c r="D752" s="63"/>
    </row>
    <row r="753" spans="1:4" ht="12.75">
      <c r="A753" s="60"/>
      <c r="B753" s="61"/>
      <c r="C753" s="62"/>
      <c r="D753" s="63"/>
    </row>
    <row r="754" spans="1:4" ht="12.75">
      <c r="A754" s="60"/>
      <c r="B754" s="61"/>
      <c r="C754" s="62"/>
      <c r="D754" s="63"/>
    </row>
    <row r="755" spans="1:4" ht="12.75">
      <c r="A755" s="60"/>
      <c r="B755" s="61"/>
      <c r="C755" s="62"/>
      <c r="D755" s="63"/>
    </row>
    <row r="756" spans="1:4" ht="12.75">
      <c r="A756" s="60"/>
      <c r="B756" s="61"/>
      <c r="C756" s="62"/>
      <c r="D756" s="63"/>
    </row>
    <row r="757" spans="1:4" ht="12.75">
      <c r="A757" s="60"/>
      <c r="B757" s="61"/>
      <c r="C757" s="62"/>
      <c r="D757" s="63"/>
    </row>
    <row r="758" spans="1:4" ht="12.75">
      <c r="A758" s="60"/>
      <c r="B758" s="61"/>
      <c r="C758" s="62"/>
      <c r="D758" s="63"/>
    </row>
  </sheetData>
  <mergeCells count="7">
    <mergeCell ref="S8:X8"/>
    <mergeCell ref="F8:Q8"/>
    <mergeCell ref="M9:Q9"/>
    <mergeCell ref="F10:G10"/>
    <mergeCell ref="F9:L9"/>
    <mergeCell ref="M10:N10"/>
    <mergeCell ref="S9:X9"/>
  </mergeCells>
  <printOptions/>
  <pageMargins left="0.65" right="0.51" top="1" bottom="1" header="0.5" footer="0.5"/>
  <pageSetup fitToHeight="0" fitToWidth="1" horizontalDpi="300" verticalDpi="300" orientation="portrait" paperSize="9" scale="21" r:id="rId3"/>
  <headerFooter alignWithMargins="0">
    <oddFooter>&amp;L
&amp;"Arial,Italic"Bare, Leaning and Bare
Chartered Quantity Surveyors&amp;RPage &amp;P of &amp;N</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Z730"/>
  <sheetViews>
    <sheetView tabSelected="1" view="pageBreakPreview" zoomScale="90" zoomScaleNormal="75" zoomScaleSheetLayoutView="90" workbookViewId="0" topLeftCell="A4">
      <pane xSplit="5" ySplit="7" topLeftCell="F11" activePane="bottomRight" state="frozen"/>
      <selection pane="topLeft" activeCell="A4" sqref="A4"/>
      <selection pane="topRight" activeCell="F4" sqref="F4"/>
      <selection pane="bottomLeft" activeCell="A9" sqref="A9"/>
      <selection pane="bottomRight" activeCell="H181" sqref="H181"/>
    </sheetView>
  </sheetViews>
  <sheetFormatPr defaultColWidth="9.140625" defaultRowHeight="12.75" outlineLevelRow="1" outlineLevelCol="1"/>
  <cols>
    <col min="1" max="1" width="4.00390625" style="67" customWidth="1" outlineLevel="1"/>
    <col min="2" max="2" width="6.00390625" style="67" customWidth="1" outlineLevel="1"/>
    <col min="3" max="3" width="6.140625" style="7" customWidth="1" outlineLevel="1"/>
    <col min="4" max="4" width="6.7109375" style="68" customWidth="1" outlineLevel="1"/>
    <col min="5" max="5" width="40.57421875" style="8" customWidth="1"/>
    <col min="6" max="6" width="6.140625" style="5" customWidth="1"/>
    <col min="7" max="7" width="4.7109375" style="6" customWidth="1"/>
    <col min="8" max="8" width="7.140625" style="6" customWidth="1" outlineLevel="1"/>
    <col min="9" max="9" width="8.57421875" style="6" customWidth="1" outlineLevel="1"/>
    <col min="10" max="10" width="9.8515625" style="7" customWidth="1"/>
    <col min="11" max="11" width="10.57421875" style="7" customWidth="1"/>
    <col min="12" max="12" width="29.00390625" style="91" customWidth="1"/>
    <col min="13" max="13" width="6.140625" style="5" customWidth="1"/>
    <col min="14" max="14" width="4.7109375" style="6" customWidth="1"/>
    <col min="15" max="15" width="9.8515625" style="7" customWidth="1"/>
    <col min="16" max="16" width="10.57421875" style="7" customWidth="1"/>
    <col min="17" max="17" width="29.00390625" style="7" customWidth="1"/>
    <col min="18" max="18" width="0.9921875" style="6" customWidth="1"/>
    <col min="19" max="19" width="35.421875" style="6" customWidth="1"/>
    <col min="20" max="21" width="9.421875" style="6" customWidth="1"/>
    <col min="22" max="22" width="7.421875" style="6" customWidth="1"/>
    <col min="23" max="23" width="11.8515625" style="7" customWidth="1"/>
    <col min="24" max="24" width="27.421875" style="6" customWidth="1"/>
    <col min="25" max="16384" width="9.140625" style="6" customWidth="1"/>
  </cols>
  <sheetData>
    <row r="1" spans="1:5" ht="12.75">
      <c r="A1" s="1"/>
      <c r="B1" s="2"/>
      <c r="C1" s="2"/>
      <c r="D1" s="3"/>
      <c r="E1" s="4" t="s">
        <v>5</v>
      </c>
    </row>
    <row r="2" spans="1:4" ht="12.75">
      <c r="A2" s="1"/>
      <c r="B2" s="2"/>
      <c r="C2" s="2"/>
      <c r="D2" s="3"/>
    </row>
    <row r="3" spans="1:17" ht="12.75">
      <c r="A3" s="1"/>
      <c r="B3" s="2"/>
      <c r="C3" s="2"/>
      <c r="D3" s="3"/>
      <c r="E3" s="9" t="s">
        <v>3</v>
      </c>
      <c r="K3" s="25"/>
      <c r="L3" s="92"/>
      <c r="P3" s="25"/>
      <c r="Q3" s="25"/>
    </row>
    <row r="4" spans="1:17" ht="18.75">
      <c r="A4" s="1"/>
      <c r="B4" s="2"/>
      <c r="C4" s="2"/>
      <c r="D4" s="3"/>
      <c r="E4" s="134" t="s">
        <v>303</v>
      </c>
      <c r="K4" s="25"/>
      <c r="L4" s="92"/>
      <c r="P4" s="25"/>
      <c r="Q4" s="25"/>
    </row>
    <row r="5" spans="1:17" ht="12.75">
      <c r="A5" s="1"/>
      <c r="B5" s="2"/>
      <c r="C5" s="2"/>
      <c r="D5" s="3"/>
      <c r="E5" s="9"/>
      <c r="K5" s="25"/>
      <c r="L5" s="92"/>
      <c r="P5" s="25"/>
      <c r="Q5" s="25"/>
    </row>
    <row r="6" spans="1:17" ht="37.5">
      <c r="A6" s="1"/>
      <c r="B6" s="2"/>
      <c r="C6" s="2"/>
      <c r="D6" s="3"/>
      <c r="E6" s="125" t="s">
        <v>386</v>
      </c>
      <c r="K6" s="10"/>
      <c r="L6" s="93"/>
      <c r="P6" s="10"/>
      <c r="Q6" s="10"/>
    </row>
    <row r="7" spans="1:17" ht="12.75">
      <c r="A7" s="1"/>
      <c r="B7" s="2"/>
      <c r="C7" s="2"/>
      <c r="D7" s="3"/>
      <c r="E7" s="6"/>
      <c r="K7" s="10"/>
      <c r="L7" s="93"/>
      <c r="P7" s="10"/>
      <c r="Q7" s="10"/>
    </row>
    <row r="8" spans="1:24" ht="24.75" customHeight="1">
      <c r="A8" s="1"/>
      <c r="B8" s="2"/>
      <c r="C8" s="2"/>
      <c r="D8" s="3"/>
      <c r="E8" s="9"/>
      <c r="F8" s="174" t="s">
        <v>170</v>
      </c>
      <c r="G8" s="175"/>
      <c r="H8" s="175"/>
      <c r="I8" s="175"/>
      <c r="J8" s="175"/>
      <c r="K8" s="175"/>
      <c r="L8" s="175"/>
      <c r="M8" s="175"/>
      <c r="N8" s="175"/>
      <c r="O8" s="175"/>
      <c r="P8" s="175"/>
      <c r="Q8" s="176"/>
      <c r="S8" s="171" t="s">
        <v>252</v>
      </c>
      <c r="T8" s="172"/>
      <c r="U8" s="172"/>
      <c r="V8" s="172"/>
      <c r="W8" s="172"/>
      <c r="X8" s="173"/>
    </row>
    <row r="9" spans="1:24" ht="28.5" customHeight="1">
      <c r="A9" s="1"/>
      <c r="B9" s="2"/>
      <c r="C9" s="2"/>
      <c r="D9" s="3"/>
      <c r="E9" s="9"/>
      <c r="F9" s="182" t="s">
        <v>11</v>
      </c>
      <c r="G9" s="183"/>
      <c r="H9" s="183"/>
      <c r="I9" s="183"/>
      <c r="J9" s="183"/>
      <c r="K9" s="183"/>
      <c r="L9" s="184"/>
      <c r="M9" s="177" t="s">
        <v>12</v>
      </c>
      <c r="N9" s="178"/>
      <c r="O9" s="178"/>
      <c r="P9" s="178"/>
      <c r="Q9" s="179"/>
      <c r="S9" s="187" t="s">
        <v>11</v>
      </c>
      <c r="T9" s="188"/>
      <c r="U9" s="188"/>
      <c r="V9" s="188"/>
      <c r="W9" s="188"/>
      <c r="X9" s="189"/>
    </row>
    <row r="10" spans="1:26" ht="51" customHeight="1">
      <c r="A10" s="56"/>
      <c r="B10" s="57"/>
      <c r="C10" s="58"/>
      <c r="D10" s="59"/>
      <c r="E10" s="88" t="s">
        <v>1</v>
      </c>
      <c r="F10" s="180" t="s">
        <v>0</v>
      </c>
      <c r="G10" s="181"/>
      <c r="H10" s="26" t="s">
        <v>13</v>
      </c>
      <c r="I10" s="26" t="s">
        <v>14</v>
      </c>
      <c r="J10" s="22" t="s">
        <v>9</v>
      </c>
      <c r="K10" s="11" t="s">
        <v>2</v>
      </c>
      <c r="L10" s="28" t="s">
        <v>10</v>
      </c>
      <c r="M10" s="185" t="s">
        <v>0</v>
      </c>
      <c r="N10" s="186"/>
      <c r="O10" s="29" t="s">
        <v>9</v>
      </c>
      <c r="P10" s="28" t="s">
        <v>2</v>
      </c>
      <c r="Q10" s="28" t="s">
        <v>10</v>
      </c>
      <c r="R10" s="12"/>
      <c r="S10" s="104" t="s">
        <v>1</v>
      </c>
      <c r="T10" s="105" t="s">
        <v>253</v>
      </c>
      <c r="U10" s="105" t="s">
        <v>254</v>
      </c>
      <c r="V10" s="105" t="s">
        <v>256</v>
      </c>
      <c r="W10" s="22" t="s">
        <v>255</v>
      </c>
      <c r="X10" s="106" t="s">
        <v>10</v>
      </c>
      <c r="Y10" s="12"/>
      <c r="Z10" s="12"/>
    </row>
    <row r="11" spans="1:24" ht="12.75">
      <c r="A11" s="60"/>
      <c r="B11" s="61"/>
      <c r="C11" s="62"/>
      <c r="D11" s="63"/>
      <c r="E11" s="13"/>
      <c r="F11" s="14"/>
      <c r="G11" s="24"/>
      <c r="H11" s="27"/>
      <c r="I11" s="27"/>
      <c r="J11" s="19"/>
      <c r="K11" s="15"/>
      <c r="L11" s="94"/>
      <c r="M11" s="14"/>
      <c r="N11" s="24"/>
      <c r="O11" s="19"/>
      <c r="P11" s="15"/>
      <c r="Q11" s="30"/>
      <c r="S11" s="107"/>
      <c r="T11" s="108"/>
      <c r="U11" s="108"/>
      <c r="V11" s="108"/>
      <c r="W11" s="109"/>
      <c r="X11" s="24"/>
    </row>
    <row r="12" spans="1:24" ht="12.75">
      <c r="A12" s="60"/>
      <c r="B12" s="61"/>
      <c r="C12" s="64"/>
      <c r="D12" s="63"/>
      <c r="E12" s="38"/>
      <c r="F12" s="33"/>
      <c r="G12" s="34"/>
      <c r="H12" s="39"/>
      <c r="I12" s="39"/>
      <c r="J12" s="36">
        <f>IF(+I12+H12&gt;0,I12+(H12*labour),"")</f>
      </c>
      <c r="K12" s="37">
        <f>+IF(F12="item",J12,IF(F12&lt;&gt;0,F12*J12,""))</f>
      </c>
      <c r="L12" s="31"/>
      <c r="M12" s="33"/>
      <c r="N12" s="34"/>
      <c r="O12" s="36"/>
      <c r="P12" s="37">
        <f>+IF(M12="item",O12,IF(M12&lt;&gt;0,M12*O12,""))</f>
      </c>
      <c r="Q12" s="54"/>
      <c r="S12" s="110"/>
      <c r="T12" s="12"/>
      <c r="U12" s="12"/>
      <c r="V12" s="12"/>
      <c r="W12" s="19"/>
      <c r="X12" s="111"/>
    </row>
    <row r="13" spans="1:24" ht="15.75">
      <c r="A13" s="60"/>
      <c r="B13" s="61"/>
      <c r="C13" s="86"/>
      <c r="D13" s="87"/>
      <c r="E13" s="78" t="s">
        <v>83</v>
      </c>
      <c r="F13" s="79"/>
      <c r="G13" s="80"/>
      <c r="H13" s="81"/>
      <c r="I13" s="81"/>
      <c r="J13" s="82"/>
      <c r="K13" s="83"/>
      <c r="L13" s="84"/>
      <c r="M13" s="79"/>
      <c r="N13" s="80"/>
      <c r="O13" s="82"/>
      <c r="P13" s="83"/>
      <c r="Q13" s="85"/>
      <c r="S13" s="110"/>
      <c r="T13" s="12"/>
      <c r="U13" s="12"/>
      <c r="V13" s="12"/>
      <c r="W13" s="19"/>
      <c r="X13" s="111"/>
    </row>
    <row r="14" spans="1:24" ht="12.75">
      <c r="A14" s="60"/>
      <c r="B14" s="61"/>
      <c r="C14" s="64"/>
      <c r="D14" s="63"/>
      <c r="E14" s="38"/>
      <c r="F14" s="33"/>
      <c r="G14" s="34"/>
      <c r="H14" s="39"/>
      <c r="I14" s="39"/>
      <c r="J14" s="36"/>
      <c r="K14" s="37"/>
      <c r="L14" s="31"/>
      <c r="M14" s="33"/>
      <c r="N14" s="34"/>
      <c r="O14" s="36"/>
      <c r="P14" s="37"/>
      <c r="Q14" s="54"/>
      <c r="S14" s="110"/>
      <c r="T14" s="12"/>
      <c r="U14" s="12"/>
      <c r="V14" s="12"/>
      <c r="W14" s="19"/>
      <c r="X14" s="111"/>
    </row>
    <row r="15" spans="1:24" ht="12.75">
      <c r="A15" s="60"/>
      <c r="B15" s="61"/>
      <c r="C15" s="64"/>
      <c r="D15" s="63"/>
      <c r="E15" s="38"/>
      <c r="F15" s="33"/>
      <c r="G15" s="34"/>
      <c r="H15" s="39"/>
      <c r="I15" s="39"/>
      <c r="J15" s="36"/>
      <c r="K15" s="37"/>
      <c r="L15" s="31"/>
      <c r="M15" s="33"/>
      <c r="N15" s="34"/>
      <c r="O15" s="36"/>
      <c r="P15" s="37"/>
      <c r="Q15" s="54"/>
      <c r="S15" s="110"/>
      <c r="T15" s="12"/>
      <c r="U15" s="12"/>
      <c r="V15" s="12"/>
      <c r="W15" s="19"/>
      <c r="X15" s="111"/>
    </row>
    <row r="16" spans="1:24" ht="25.5" customHeight="1">
      <c r="A16" s="60"/>
      <c r="B16" s="61"/>
      <c r="C16" s="64"/>
      <c r="D16" s="63"/>
      <c r="E16" s="32" t="s">
        <v>84</v>
      </c>
      <c r="F16" s="33"/>
      <c r="G16" s="34"/>
      <c r="H16" s="39"/>
      <c r="I16" s="39"/>
      <c r="J16" s="36"/>
      <c r="K16" s="53">
        <f>SUM(K18:K36)</f>
        <v>845.55152</v>
      </c>
      <c r="L16" s="31" t="s">
        <v>44</v>
      </c>
      <c r="M16" s="33"/>
      <c r="N16" s="34"/>
      <c r="O16" s="36"/>
      <c r="P16" s="53">
        <f>SUM(P18:P36)</f>
        <v>502.78319999999997</v>
      </c>
      <c r="Q16" s="54"/>
      <c r="S16" s="110"/>
      <c r="T16" s="12"/>
      <c r="U16" s="12"/>
      <c r="V16" s="12"/>
      <c r="W16" s="112">
        <f>SUM(W18:W36)</f>
        <v>13.15</v>
      </c>
      <c r="X16" s="111"/>
    </row>
    <row r="17" spans="1:24" ht="12.75" hidden="1" outlineLevel="1">
      <c r="A17" s="60"/>
      <c r="B17" s="61"/>
      <c r="C17" s="64"/>
      <c r="D17" s="63"/>
      <c r="E17" s="38"/>
      <c r="F17" s="33"/>
      <c r="G17" s="34"/>
      <c r="H17" s="39"/>
      <c r="I17" s="39"/>
      <c r="J17" s="36">
        <f>IF(+I17+H17&gt;0,I17+(H17*labour),"")</f>
      </c>
      <c r="K17" s="37"/>
      <c r="L17" s="31"/>
      <c r="M17" s="33"/>
      <c r="N17" s="34"/>
      <c r="O17" s="36"/>
      <c r="P17" s="37">
        <f>+IF(M17="item",O17,IF(M17&lt;&gt;0,M17*O17,""))</f>
      </c>
      <c r="Q17" s="54"/>
      <c r="S17" s="113" t="s">
        <v>257</v>
      </c>
      <c r="T17" s="12"/>
      <c r="U17" s="12"/>
      <c r="V17" s="12"/>
      <c r="W17" s="19"/>
      <c r="X17" s="111"/>
    </row>
    <row r="18" spans="1:24" ht="12.75" hidden="1" outlineLevel="1">
      <c r="A18" s="60"/>
      <c r="B18" s="61"/>
      <c r="C18" s="64"/>
      <c r="D18" s="63"/>
      <c r="E18" s="38" t="s">
        <v>38</v>
      </c>
      <c r="F18" s="33">
        <f>ROUND(D22,0)</f>
        <v>41</v>
      </c>
      <c r="G18" s="34" t="s">
        <v>35</v>
      </c>
      <c r="H18" s="39">
        <v>0.13</v>
      </c>
      <c r="I18" s="39">
        <f>space</f>
        <v>5.6784</v>
      </c>
      <c r="J18" s="36">
        <f>IF(+I18+H18&gt;0,I18+(H18*labour),"")</f>
        <v>9.5784</v>
      </c>
      <c r="K18" s="37">
        <f>+IF(F18="item",J18,IF(F18&lt;&gt;0,F18*J18,""))</f>
        <v>392.7144</v>
      </c>
      <c r="L18" s="31" t="s">
        <v>39</v>
      </c>
      <c r="M18" s="33">
        <f>+F18</f>
        <v>41</v>
      </c>
      <c r="N18" s="34" t="s">
        <v>35</v>
      </c>
      <c r="O18" s="36">
        <f>space</f>
        <v>5.6784</v>
      </c>
      <c r="P18" s="37">
        <f>+IF(M18="item",O18,IF(M18&lt;&gt;0,M18*O18,""))</f>
        <v>232.8144</v>
      </c>
      <c r="Q18" s="54" t="s">
        <v>39</v>
      </c>
      <c r="S18" s="110" t="str">
        <f>+E18</f>
        <v>150mm thick Spaceblanket</v>
      </c>
      <c r="T18" s="114">
        <f>+K18</f>
        <v>392.7144</v>
      </c>
      <c r="U18" s="12"/>
      <c r="V18" s="12">
        <v>60</v>
      </c>
      <c r="W18" s="19">
        <f>ROUND(+IF(V18&gt;0,T18/V18,""),2)</f>
        <v>6.55</v>
      </c>
      <c r="X18" s="111"/>
    </row>
    <row r="19" spans="1:24" ht="12.75" hidden="1" outlineLevel="1">
      <c r="A19" s="60"/>
      <c r="B19" s="61"/>
      <c r="C19" s="64">
        <v>7.1</v>
      </c>
      <c r="D19" s="63"/>
      <c r="E19" s="38"/>
      <c r="F19" s="33"/>
      <c r="G19" s="34"/>
      <c r="H19" s="39"/>
      <c r="I19" s="39"/>
      <c r="J19" s="36"/>
      <c r="K19" s="37"/>
      <c r="L19" s="31"/>
      <c r="M19" s="33"/>
      <c r="N19" s="34"/>
      <c r="O19" s="36"/>
      <c r="P19" s="37"/>
      <c r="Q19" s="54"/>
      <c r="S19" s="110"/>
      <c r="T19" s="114"/>
      <c r="U19" s="12"/>
      <c r="V19" s="12"/>
      <c r="W19" s="19"/>
      <c r="X19" s="111"/>
    </row>
    <row r="20" spans="1:24" ht="12.75" hidden="1" outlineLevel="1">
      <c r="A20" s="60"/>
      <c r="B20" s="61"/>
      <c r="C20" s="135">
        <v>5.8</v>
      </c>
      <c r="D20" s="63">
        <f>+C19*C20</f>
        <v>41.18</v>
      </c>
      <c r="E20" s="38"/>
      <c r="F20" s="33"/>
      <c r="G20" s="34"/>
      <c r="H20" s="39"/>
      <c r="I20" s="39"/>
      <c r="J20" s="36"/>
      <c r="K20" s="37"/>
      <c r="L20" s="31"/>
      <c r="M20" s="33"/>
      <c r="N20" s="34"/>
      <c r="O20" s="36"/>
      <c r="P20" s="37"/>
      <c r="Q20" s="54"/>
      <c r="S20" s="110"/>
      <c r="T20" s="114"/>
      <c r="U20" s="12"/>
      <c r="V20" s="12"/>
      <c r="W20" s="19"/>
      <c r="X20" s="111"/>
    </row>
    <row r="21" spans="1:24" ht="12.75" hidden="1" outlineLevel="1">
      <c r="A21" s="60"/>
      <c r="B21" s="61"/>
      <c r="C21" s="64"/>
      <c r="D21" s="63"/>
      <c r="E21" s="38"/>
      <c r="F21" s="33"/>
      <c r="G21" s="34"/>
      <c r="H21" s="39"/>
      <c r="I21" s="39"/>
      <c r="J21" s="36"/>
      <c r="K21" s="37"/>
      <c r="L21" s="31"/>
      <c r="M21" s="33"/>
      <c r="N21" s="34"/>
      <c r="O21" s="36"/>
      <c r="P21" s="37"/>
      <c r="Q21" s="54"/>
      <c r="S21" s="110"/>
      <c r="T21" s="114"/>
      <c r="U21" s="12"/>
      <c r="V21" s="12"/>
      <c r="W21" s="19"/>
      <c r="X21" s="111"/>
    </row>
    <row r="22" spans="1:24" ht="12.75" hidden="1" outlineLevel="1">
      <c r="A22" s="60"/>
      <c r="B22" s="61"/>
      <c r="C22" s="64"/>
      <c r="D22" s="65">
        <f>SUM(D19:D21)</f>
        <v>41.18</v>
      </c>
      <c r="E22" s="38"/>
      <c r="F22" s="33"/>
      <c r="G22" s="34"/>
      <c r="H22" s="39"/>
      <c r="I22" s="39"/>
      <c r="J22" s="36">
        <f>IF(+I22+H22&gt;0,I22+(H22*labour),"")</f>
      </c>
      <c r="K22" s="37">
        <f>+IF(F22="item",J22,IF(F22&lt;&gt;0,F22*J22,""))</f>
      </c>
      <c r="L22" s="31"/>
      <c r="M22" s="33"/>
      <c r="N22" s="34"/>
      <c r="O22" s="36"/>
      <c r="P22" s="37">
        <f>+IF(M22="item",O22,IF(M22&lt;&gt;0,M22*O22,""))</f>
      </c>
      <c r="Q22" s="54"/>
      <c r="S22" s="110"/>
      <c r="T22" s="12"/>
      <c r="U22" s="12"/>
      <c r="V22" s="12"/>
      <c r="W22" s="19"/>
      <c r="X22" s="111"/>
    </row>
    <row r="23" spans="1:24" ht="12.75" hidden="1" outlineLevel="1">
      <c r="A23" s="60"/>
      <c r="B23" s="61"/>
      <c r="C23" s="64"/>
      <c r="D23" s="65"/>
      <c r="E23" s="38"/>
      <c r="F23" s="33"/>
      <c r="G23" s="34"/>
      <c r="H23" s="39"/>
      <c r="I23" s="39"/>
      <c r="J23" s="36"/>
      <c r="K23" s="37"/>
      <c r="L23" s="31"/>
      <c r="M23" s="33"/>
      <c r="N23" s="34"/>
      <c r="O23" s="36"/>
      <c r="P23" s="37"/>
      <c r="Q23" s="54"/>
      <c r="S23" s="110"/>
      <c r="T23" s="12"/>
      <c r="U23" s="12"/>
      <c r="V23" s="12"/>
      <c r="W23" s="19"/>
      <c r="X23" s="111"/>
    </row>
    <row r="24" spans="1:24" ht="12.75" hidden="1" outlineLevel="1">
      <c r="A24" s="60"/>
      <c r="B24" s="61"/>
      <c r="C24" s="64"/>
      <c r="D24" s="63"/>
      <c r="E24" s="38" t="s">
        <v>41</v>
      </c>
      <c r="F24" s="33">
        <f>+D28</f>
        <v>54</v>
      </c>
      <c r="G24" s="34" t="s">
        <v>8</v>
      </c>
      <c r="H24" s="39">
        <v>0.05</v>
      </c>
      <c r="I24" s="39">
        <f>eavesvent</f>
        <v>4.35</v>
      </c>
      <c r="J24" s="36">
        <f>IF(+I24+H24&gt;0,I24+(H24*labour),"")</f>
        <v>5.85</v>
      </c>
      <c r="K24" s="37">
        <f>+IF(F24="item",J24,IF(F24&lt;&gt;0,F24*J24,""))</f>
        <v>315.9</v>
      </c>
      <c r="L24" s="31"/>
      <c r="M24" s="33">
        <f>+F24</f>
        <v>54</v>
      </c>
      <c r="N24" s="34" t="s">
        <v>8</v>
      </c>
      <c r="O24" s="36">
        <f>eavesvent</f>
        <v>4.35</v>
      </c>
      <c r="P24" s="37">
        <f>+IF(M24="item",O24,IF(M24&lt;&gt;0,M24*O24,""))</f>
        <v>234.89999999999998</v>
      </c>
      <c r="Q24" s="54"/>
      <c r="S24" s="110" t="str">
        <f>+E24</f>
        <v>Glidevale eaves ventilators RV 401</v>
      </c>
      <c r="T24" s="114">
        <f>+K24</f>
        <v>315.9</v>
      </c>
      <c r="U24" s="12"/>
      <c r="V24" s="12">
        <v>60</v>
      </c>
      <c r="W24" s="19">
        <f>ROUND(+IF(V24&gt;0,T24/V24,""),2)</f>
        <v>5.27</v>
      </c>
      <c r="X24" s="111"/>
    </row>
    <row r="25" spans="1:24" ht="12.75" hidden="1" outlineLevel="1">
      <c r="A25" s="60"/>
      <c r="B25" s="61">
        <v>2</v>
      </c>
      <c r="C25" s="159">
        <f>ROUNDUP(7.1/0.4,0)+1</f>
        <v>19</v>
      </c>
      <c r="D25" s="161">
        <f>+C25*B25</f>
        <v>38</v>
      </c>
      <c r="E25" s="38"/>
      <c r="F25" s="33"/>
      <c r="G25" s="34"/>
      <c r="H25" s="39"/>
      <c r="I25" s="39"/>
      <c r="J25" s="36"/>
      <c r="K25" s="37"/>
      <c r="L25" s="31"/>
      <c r="M25" s="33"/>
      <c r="N25" s="34"/>
      <c r="O25" s="36"/>
      <c r="P25" s="37"/>
      <c r="Q25" s="54"/>
      <c r="S25" s="110"/>
      <c r="T25" s="114"/>
      <c r="U25" s="12"/>
      <c r="V25" s="12"/>
      <c r="W25" s="19"/>
      <c r="X25" s="111"/>
    </row>
    <row r="26" spans="1:24" ht="12.75" hidden="1" outlineLevel="1">
      <c r="A26" s="60"/>
      <c r="B26" s="61"/>
      <c r="C26" s="160">
        <f>ROUNDUP(5.8/0.4,0)+1</f>
        <v>16</v>
      </c>
      <c r="D26" s="161">
        <f>+C26</f>
        <v>16</v>
      </c>
      <c r="E26" s="38"/>
      <c r="F26" s="33"/>
      <c r="G26" s="34"/>
      <c r="H26" s="39"/>
      <c r="I26" s="39"/>
      <c r="J26" s="36"/>
      <c r="K26" s="37"/>
      <c r="L26" s="31"/>
      <c r="M26" s="33"/>
      <c r="N26" s="34"/>
      <c r="O26" s="36"/>
      <c r="P26" s="37"/>
      <c r="Q26" s="54"/>
      <c r="S26" s="110"/>
      <c r="T26" s="114"/>
      <c r="U26" s="12"/>
      <c r="V26" s="12"/>
      <c r="W26" s="19"/>
      <c r="X26" s="111"/>
    </row>
    <row r="27" spans="1:24" ht="12.75" hidden="1" outlineLevel="1">
      <c r="A27" s="60"/>
      <c r="B27" s="61"/>
      <c r="C27" s="158"/>
      <c r="D27" s="63"/>
      <c r="E27" s="38"/>
      <c r="F27" s="33"/>
      <c r="G27" s="34"/>
      <c r="H27" s="39"/>
      <c r="I27" s="39"/>
      <c r="J27" s="36"/>
      <c r="K27" s="37"/>
      <c r="L27" s="31"/>
      <c r="M27" s="33"/>
      <c r="N27" s="34"/>
      <c r="O27" s="36"/>
      <c r="P27" s="37"/>
      <c r="Q27" s="54"/>
      <c r="S27" s="110"/>
      <c r="T27" s="114"/>
      <c r="U27" s="12"/>
      <c r="V27" s="12"/>
      <c r="W27" s="19"/>
      <c r="X27" s="111"/>
    </row>
    <row r="28" spans="1:24" ht="12.75" hidden="1" outlineLevel="1">
      <c r="A28" s="60"/>
      <c r="B28" s="61"/>
      <c r="C28" s="158"/>
      <c r="D28" s="162">
        <f>SUM(D25:D27)</f>
        <v>54</v>
      </c>
      <c r="E28" s="38"/>
      <c r="F28" s="33"/>
      <c r="G28" s="34"/>
      <c r="H28" s="39"/>
      <c r="I28" s="39"/>
      <c r="J28" s="36"/>
      <c r="K28" s="37"/>
      <c r="L28" s="31"/>
      <c r="M28" s="33"/>
      <c r="N28" s="34"/>
      <c r="O28" s="36"/>
      <c r="P28" s="37"/>
      <c r="Q28" s="54"/>
      <c r="S28" s="110"/>
      <c r="T28" s="114"/>
      <c r="U28" s="12"/>
      <c r="V28" s="12"/>
      <c r="W28" s="19"/>
      <c r="X28" s="111"/>
    </row>
    <row r="29" spans="1:24" ht="12.75" hidden="1" outlineLevel="1">
      <c r="A29" s="60"/>
      <c r="B29" s="61"/>
      <c r="C29" s="64"/>
      <c r="D29" s="63"/>
      <c r="E29" s="38"/>
      <c r="F29" s="33"/>
      <c r="G29" s="34"/>
      <c r="H29" s="39"/>
      <c r="I29" s="39"/>
      <c r="J29" s="36"/>
      <c r="K29" s="37"/>
      <c r="L29" s="31"/>
      <c r="M29" s="33"/>
      <c r="N29" s="34"/>
      <c r="O29" s="36"/>
      <c r="P29" s="37"/>
      <c r="Q29" s="54"/>
      <c r="S29" s="110"/>
      <c r="T29" s="114"/>
      <c r="U29" s="12"/>
      <c r="V29" s="12"/>
      <c r="W29" s="19"/>
      <c r="X29" s="111"/>
    </row>
    <row r="30" spans="1:24" ht="12.75" hidden="1" outlineLevel="1">
      <c r="A30" s="60"/>
      <c r="B30" s="61"/>
      <c r="C30" s="64"/>
      <c r="D30" s="63"/>
      <c r="E30" s="38"/>
      <c r="F30" s="33"/>
      <c r="G30" s="34"/>
      <c r="H30" s="39"/>
      <c r="I30" s="39"/>
      <c r="J30" s="36">
        <f>IF(+I30+H30&gt;0,I30+(H30*labour),"")</f>
      </c>
      <c r="K30" s="37">
        <f>+IF(F30="item",J30,IF(F30&lt;&gt;0,F30*J30,""))</f>
      </c>
      <c r="L30" s="31"/>
      <c r="M30" s="33"/>
      <c r="N30" s="34"/>
      <c r="O30" s="36"/>
      <c r="P30" s="37">
        <f>+IF(M30="item",O30,IF(M30&lt;&gt;0,M30*O30,""))</f>
      </c>
      <c r="Q30" s="54"/>
      <c r="S30" s="110"/>
      <c r="T30" s="12"/>
      <c r="U30" s="12"/>
      <c r="V30" s="12"/>
      <c r="W30" s="19"/>
      <c r="X30" s="111"/>
    </row>
    <row r="31" spans="1:24" ht="12.75" hidden="1" outlineLevel="1">
      <c r="A31" s="60"/>
      <c r="B31" s="61"/>
      <c r="C31" s="64"/>
      <c r="D31" s="63"/>
      <c r="E31" s="38" t="s">
        <v>40</v>
      </c>
      <c r="F31" s="33" t="s">
        <v>1</v>
      </c>
      <c r="G31" s="34"/>
      <c r="H31" s="39"/>
      <c r="I31" s="39">
        <f>draughtdoor</f>
        <v>10.0688</v>
      </c>
      <c r="J31" s="36">
        <f>IF(+I31+H31&gt;0,I31+(H31*labour),"")</f>
        <v>10.0688</v>
      </c>
      <c r="K31" s="37">
        <f>+IF(F31="item",J31,IF(F31&lt;&gt;0,F31*J31,""))</f>
        <v>10.0688</v>
      </c>
      <c r="L31" s="31"/>
      <c r="M31" s="33" t="str">
        <f>+F31</f>
        <v>Item</v>
      </c>
      <c r="N31" s="34"/>
      <c r="O31" s="36">
        <f>+I31</f>
        <v>10.0688</v>
      </c>
      <c r="P31" s="37">
        <f>+IF(M31="item",O31,IF(M31&lt;&gt;0,M31*O31,""))</f>
        <v>10.0688</v>
      </c>
      <c r="Q31" s="54"/>
      <c r="S31" s="110" t="str">
        <f>+E31</f>
        <v>Pin on brush seals to loft hatch</v>
      </c>
      <c r="T31" s="114">
        <f>+K31</f>
        <v>10.0688</v>
      </c>
      <c r="U31" s="12"/>
      <c r="V31" s="12">
        <v>20</v>
      </c>
      <c r="W31" s="19">
        <f>ROUND(+IF(V31&gt;0,T31/V31,""),2)</f>
        <v>0.5</v>
      </c>
      <c r="X31" s="111"/>
    </row>
    <row r="32" spans="1:24" ht="12.75" hidden="1" outlineLevel="1">
      <c r="A32" s="60"/>
      <c r="B32" s="61"/>
      <c r="C32" s="64"/>
      <c r="D32" s="63"/>
      <c r="E32" s="38"/>
      <c r="F32" s="33"/>
      <c r="G32" s="34"/>
      <c r="H32" s="39"/>
      <c r="I32" s="39"/>
      <c r="J32" s="36">
        <f>IF(+I32+H32&gt;0,I32+(H32*labour),"")</f>
      </c>
      <c r="K32" s="37">
        <f>+IF(F32="item",J32,IF(F32&lt;&gt;0,F32*J32,""))</f>
      </c>
      <c r="L32" s="31"/>
      <c r="M32" s="33"/>
      <c r="N32" s="34"/>
      <c r="O32" s="36"/>
      <c r="P32" s="37">
        <f>+IF(M32="item",O32,IF(M32&lt;&gt;0,M32*O32,""))</f>
      </c>
      <c r="Q32" s="54"/>
      <c r="S32" s="110"/>
      <c r="T32" s="12"/>
      <c r="U32" s="12"/>
      <c r="V32" s="12"/>
      <c r="W32" s="19"/>
      <c r="X32" s="111"/>
    </row>
    <row r="33" spans="1:24" ht="12.75" hidden="1" outlineLevel="1">
      <c r="A33" s="60"/>
      <c r="B33" s="61"/>
      <c r="C33" s="64"/>
      <c r="D33" s="63"/>
      <c r="E33" s="38" t="s">
        <v>43</v>
      </c>
      <c r="F33" s="33" t="s">
        <v>1</v>
      </c>
      <c r="G33" s="34"/>
      <c r="H33" s="39"/>
      <c r="I33" s="39">
        <v>10</v>
      </c>
      <c r="J33" s="36">
        <v>50</v>
      </c>
      <c r="K33" s="37">
        <f>+IF(F33="item",J33,IF(F33&lt;&gt;0,F33*J33,""))</f>
        <v>50</v>
      </c>
      <c r="L33" s="31"/>
      <c r="M33" s="33" t="s">
        <v>1</v>
      </c>
      <c r="N33" s="34"/>
      <c r="O33" s="36">
        <v>25</v>
      </c>
      <c r="P33" s="37">
        <f>+IF(M33="item",O33,IF(M33&lt;&gt;0,M33*O33,""))</f>
        <v>25</v>
      </c>
      <c r="Q33" s="54"/>
      <c r="S33" s="110" t="str">
        <f>+E33</f>
        <v>Sundry materials</v>
      </c>
      <c r="T33" s="114">
        <f>+K33</f>
        <v>50</v>
      </c>
      <c r="U33" s="12"/>
      <c r="V33" s="12">
        <v>60</v>
      </c>
      <c r="W33" s="19">
        <f>ROUND(+IF(V33&gt;0,T33/V33,""),2)</f>
        <v>0.83</v>
      </c>
      <c r="X33" s="111"/>
    </row>
    <row r="34" spans="1:24" ht="12.75" hidden="1" outlineLevel="1">
      <c r="A34" s="60"/>
      <c r="B34" s="61"/>
      <c r="C34" s="64"/>
      <c r="D34" s="63"/>
      <c r="E34" s="38"/>
      <c r="F34" s="33"/>
      <c r="G34" s="34"/>
      <c r="H34" s="39"/>
      <c r="I34" s="39"/>
      <c r="J34" s="36"/>
      <c r="K34" s="37"/>
      <c r="L34" s="31"/>
      <c r="M34" s="33"/>
      <c r="N34" s="34"/>
      <c r="O34" s="36"/>
      <c r="P34" s="37"/>
      <c r="Q34" s="54"/>
      <c r="S34" s="110"/>
      <c r="T34" s="114"/>
      <c r="U34" s="12"/>
      <c r="V34" s="12"/>
      <c r="W34" s="19"/>
      <c r="X34" s="111"/>
    </row>
    <row r="35" spans="1:24" ht="12.75" hidden="1" outlineLevel="1">
      <c r="A35" s="60"/>
      <c r="B35" s="61"/>
      <c r="C35" s="64"/>
      <c r="D35" s="63"/>
      <c r="E35" s="38" t="s">
        <v>362</v>
      </c>
      <c r="F35" s="33">
        <v>10</v>
      </c>
      <c r="G35" s="34" t="s">
        <v>363</v>
      </c>
      <c r="H35" s="39"/>
      <c r="I35" s="39"/>
      <c r="J35" s="36">
        <f>SUM(K17:K34)</f>
        <v>768.6831999999999</v>
      </c>
      <c r="K35" s="37">
        <f>+J35*F35%</f>
        <v>76.86832</v>
      </c>
      <c r="L35" s="31"/>
      <c r="M35" s="33"/>
      <c r="N35" s="34"/>
      <c r="O35" s="36"/>
      <c r="P35" s="37"/>
      <c r="Q35" s="54"/>
      <c r="S35" s="110"/>
      <c r="T35" s="114"/>
      <c r="U35" s="12"/>
      <c r="V35" s="12"/>
      <c r="W35" s="19"/>
      <c r="X35" s="111"/>
    </row>
    <row r="36" spans="1:24" ht="12.75" hidden="1" outlineLevel="1">
      <c r="A36" s="60"/>
      <c r="B36" s="61"/>
      <c r="C36" s="64"/>
      <c r="D36" s="63"/>
      <c r="E36" s="38"/>
      <c r="F36" s="33"/>
      <c r="G36" s="34"/>
      <c r="H36" s="39"/>
      <c r="I36" s="39"/>
      <c r="J36" s="36">
        <f>IF(+I36+H36&gt;0,I36+(H36*labour),"")</f>
      </c>
      <c r="K36" s="37">
        <f>+IF(F36="item",J36,IF(F36&lt;&gt;0,F36*J36,""))</f>
      </c>
      <c r="L36" s="31"/>
      <c r="M36" s="33"/>
      <c r="N36" s="34"/>
      <c r="O36" s="36"/>
      <c r="P36" s="37">
        <f>+IF(M36="item",O36,IF(M36&lt;&gt;0,M36*O36,""))</f>
      </c>
      <c r="Q36" s="54"/>
      <c r="S36" s="110"/>
      <c r="T36" s="12"/>
      <c r="U36" s="12"/>
      <c r="V36" s="12"/>
      <c r="W36" s="19"/>
      <c r="X36" s="111"/>
    </row>
    <row r="37" spans="1:24" ht="12.75" collapsed="1">
      <c r="A37" s="60"/>
      <c r="B37" s="61"/>
      <c r="C37" s="64"/>
      <c r="D37" s="63"/>
      <c r="E37" s="38"/>
      <c r="F37" s="33"/>
      <c r="G37" s="34"/>
      <c r="H37" s="39"/>
      <c r="I37" s="39"/>
      <c r="J37" s="36">
        <f>IF(+I37+H37&gt;0,I37+(H37*labour),"")</f>
      </c>
      <c r="K37" s="37"/>
      <c r="L37" s="31"/>
      <c r="M37" s="33"/>
      <c r="N37" s="34"/>
      <c r="O37" s="36"/>
      <c r="P37" s="37">
        <f>+IF(M37="item",O37,IF(M37&lt;&gt;0,M37*O37,""))</f>
      </c>
      <c r="Q37" s="54"/>
      <c r="S37" s="110"/>
      <c r="T37" s="12"/>
      <c r="U37" s="12"/>
      <c r="V37" s="12"/>
      <c r="W37" s="19"/>
      <c r="X37" s="111"/>
    </row>
    <row r="38" spans="1:24" ht="12.75">
      <c r="A38" s="60"/>
      <c r="B38" s="61"/>
      <c r="C38" s="64"/>
      <c r="D38" s="63"/>
      <c r="E38" s="32" t="s">
        <v>85</v>
      </c>
      <c r="F38" s="33"/>
      <c r="G38" s="34"/>
      <c r="H38" s="39"/>
      <c r="I38" s="39"/>
      <c r="J38" s="36">
        <f>IF(+I38+H38&gt;0,I38+(H38*labour),"")</f>
      </c>
      <c r="K38" s="53">
        <f>SUM(K40:K51)</f>
        <v>385.17072</v>
      </c>
      <c r="L38" s="31"/>
      <c r="M38" s="33"/>
      <c r="N38" s="34"/>
      <c r="O38" s="36"/>
      <c r="P38" s="53">
        <f>SUM(P40:P51)</f>
        <v>79.15520000000001</v>
      </c>
      <c r="Q38" s="54"/>
      <c r="S38" s="110"/>
      <c r="T38" s="12"/>
      <c r="U38" s="12"/>
      <c r="V38" s="12"/>
      <c r="W38" s="112">
        <f>SUM(W40:W51)</f>
        <v>35.01</v>
      </c>
      <c r="X38" s="111"/>
    </row>
    <row r="39" spans="1:24" ht="12.75">
      <c r="A39" s="60"/>
      <c r="B39" s="61"/>
      <c r="C39" s="64"/>
      <c r="D39" s="63"/>
      <c r="E39" s="38"/>
      <c r="F39" s="33"/>
      <c r="G39" s="34"/>
      <c r="H39" s="39"/>
      <c r="I39" s="39"/>
      <c r="J39" s="36">
        <f>IF(+I39+H39&gt;0,I39+(H39*labour),"")</f>
      </c>
      <c r="K39" s="37">
        <f>+IF(F39="item",J39,IF(F39&lt;&gt;0,F39*J39,""))</f>
      </c>
      <c r="L39" s="31"/>
      <c r="M39" s="33"/>
      <c r="N39" s="34"/>
      <c r="O39" s="36"/>
      <c r="P39" s="37">
        <f>+IF(M39="item",O39,IF(M39&lt;&gt;0,M39*O39,""))</f>
      </c>
      <c r="Q39" s="54"/>
      <c r="S39" s="113" t="s">
        <v>257</v>
      </c>
      <c r="T39" s="12"/>
      <c r="U39" s="12"/>
      <c r="V39" s="12"/>
      <c r="W39" s="19"/>
      <c r="X39" s="111"/>
    </row>
    <row r="40" spans="1:24" ht="12.75" hidden="1" outlineLevel="1">
      <c r="A40" s="60"/>
      <c r="B40" s="61"/>
      <c r="C40" s="64"/>
      <c r="D40" s="63"/>
      <c r="E40" s="38" t="s">
        <v>342</v>
      </c>
      <c r="F40" s="33" t="s">
        <v>1</v>
      </c>
      <c r="G40" s="34"/>
      <c r="H40" s="39">
        <v>8</v>
      </c>
      <c r="I40" s="39">
        <v>25</v>
      </c>
      <c r="J40" s="36">
        <f>IF(+I40+H40&gt;0,I40+(H40*labour),"")</f>
        <v>265</v>
      </c>
      <c r="K40" s="37">
        <f>+IF(F40="item",J40,IF(F40&lt;&gt;0,F40*J40,""))</f>
        <v>265</v>
      </c>
      <c r="L40" s="31" t="s">
        <v>341</v>
      </c>
      <c r="M40" s="33" t="str">
        <f>+F40</f>
        <v>Item</v>
      </c>
      <c r="N40" s="34" t="s">
        <v>8</v>
      </c>
      <c r="O40" s="36">
        <f>+I40</f>
        <v>25</v>
      </c>
      <c r="P40" s="37">
        <f>+IF(M40="item",O40,IF(M40&lt;&gt;0,M40*O40,""))</f>
        <v>25</v>
      </c>
      <c r="Q40" s="54" t="s">
        <v>341</v>
      </c>
      <c r="S40" s="110" t="str">
        <f>+E40</f>
        <v>Rubber seals</v>
      </c>
      <c r="T40" s="114">
        <f>+K40</f>
        <v>265</v>
      </c>
      <c r="U40" s="12"/>
      <c r="V40" s="12">
        <v>10</v>
      </c>
      <c r="W40" s="19">
        <f>ROUND(+IF(V40&gt;0,T40/V40,""),2)</f>
        <v>26.5</v>
      </c>
      <c r="X40" s="111"/>
    </row>
    <row r="41" spans="1:24" ht="12.75" hidden="1" outlineLevel="1">
      <c r="A41" s="60"/>
      <c r="B41" s="61"/>
      <c r="C41" s="64"/>
      <c r="D41" s="63"/>
      <c r="E41" s="38"/>
      <c r="F41" s="33"/>
      <c r="G41" s="34"/>
      <c r="H41" s="39"/>
      <c r="I41" s="39"/>
      <c r="J41" s="36"/>
      <c r="K41" s="37"/>
      <c r="L41" s="31"/>
      <c r="M41" s="33"/>
      <c r="N41" s="34"/>
      <c r="O41" s="36"/>
      <c r="P41" s="37"/>
      <c r="Q41" s="54"/>
      <c r="S41" s="110"/>
      <c r="T41" s="12"/>
      <c r="U41" s="12"/>
      <c r="V41" s="12"/>
      <c r="W41" s="19"/>
      <c r="X41" s="111"/>
    </row>
    <row r="42" spans="1:24" ht="12.75" hidden="1" outlineLevel="1">
      <c r="A42" s="60"/>
      <c r="B42" s="61"/>
      <c r="C42" s="64"/>
      <c r="D42" s="63"/>
      <c r="E42" s="38" t="s">
        <v>23</v>
      </c>
      <c r="F42" s="33" t="s">
        <v>1</v>
      </c>
      <c r="G42" s="34"/>
      <c r="H42" s="39"/>
      <c r="I42" s="39">
        <v>10</v>
      </c>
      <c r="J42" s="36">
        <f aca="true" t="shared" si="0" ref="J42:J48">IF(+I42+H42&gt;0,I42+(H42*labour),"")</f>
        <v>10</v>
      </c>
      <c r="K42" s="37">
        <f aca="true" t="shared" si="1" ref="K42:K48">+IF(F42="item",J42,IF(F42&lt;&gt;0,F42*J42,""))</f>
        <v>10</v>
      </c>
      <c r="L42" s="31" t="s">
        <v>31</v>
      </c>
      <c r="M42" s="33">
        <v>1</v>
      </c>
      <c r="N42" s="34" t="s">
        <v>8</v>
      </c>
      <c r="O42" s="36">
        <f>+I42</f>
        <v>10</v>
      </c>
      <c r="P42" s="37">
        <f aca="true" t="shared" si="2" ref="P42:P48">+IF(M42="item",O42,IF(M42&lt;&gt;0,M42*O42,""))</f>
        <v>10</v>
      </c>
      <c r="Q42" s="54" t="s">
        <v>31</v>
      </c>
      <c r="S42" s="110" t="str">
        <f>+E42</f>
        <v>Sundry consumables/ materials</v>
      </c>
      <c r="T42" s="114">
        <f>+K42</f>
        <v>10</v>
      </c>
      <c r="U42" s="12"/>
      <c r="V42" s="12">
        <v>10</v>
      </c>
      <c r="W42" s="19">
        <f>ROUND(+IF(V42&gt;0,T42/V42,""),2)</f>
        <v>1</v>
      </c>
      <c r="X42" s="111"/>
    </row>
    <row r="43" spans="1:24" ht="12.75" hidden="1" outlineLevel="1">
      <c r="A43" s="60"/>
      <c r="B43" s="61"/>
      <c r="C43" s="64"/>
      <c r="D43" s="65"/>
      <c r="E43" s="38"/>
      <c r="F43" s="33"/>
      <c r="G43" s="34"/>
      <c r="H43" s="39"/>
      <c r="I43" s="39"/>
      <c r="J43" s="36">
        <f t="shared" si="0"/>
      </c>
      <c r="K43" s="37">
        <f t="shared" si="1"/>
      </c>
      <c r="L43" s="31"/>
      <c r="M43" s="33"/>
      <c r="N43" s="34"/>
      <c r="O43" s="36"/>
      <c r="P43" s="37">
        <f t="shared" si="2"/>
      </c>
      <c r="Q43" s="54"/>
      <c r="S43" s="110"/>
      <c r="T43" s="12"/>
      <c r="U43" s="12"/>
      <c r="V43" s="12"/>
      <c r="W43" s="19"/>
      <c r="X43" s="111"/>
    </row>
    <row r="44" spans="1:24" ht="12.75" hidden="1" outlineLevel="1">
      <c r="A44" s="60"/>
      <c r="B44" s="61"/>
      <c r="C44" s="64"/>
      <c r="D44" s="63"/>
      <c r="E44" s="38" t="s">
        <v>26</v>
      </c>
      <c r="F44" s="33">
        <v>2</v>
      </c>
      <c r="G44" s="34" t="s">
        <v>8</v>
      </c>
      <c r="H44" s="39">
        <v>0.5</v>
      </c>
      <c r="I44" s="39">
        <f>draughtdoor</f>
        <v>10.0688</v>
      </c>
      <c r="J44" s="36">
        <f t="shared" si="0"/>
        <v>25.0688</v>
      </c>
      <c r="K44" s="37">
        <f t="shared" si="1"/>
        <v>50.1376</v>
      </c>
      <c r="L44" s="69"/>
      <c r="M44" s="33">
        <v>2</v>
      </c>
      <c r="N44" s="34" t="s">
        <v>8</v>
      </c>
      <c r="O44" s="36">
        <f>draughtdoor</f>
        <v>10.0688</v>
      </c>
      <c r="P44" s="37">
        <f t="shared" si="2"/>
        <v>20.1376</v>
      </c>
      <c r="Q44" s="96"/>
      <c r="S44" s="110" t="str">
        <f>+E44</f>
        <v>Pin on brush seal; head and jambs</v>
      </c>
      <c r="T44" s="114">
        <f>+K44</f>
        <v>50.1376</v>
      </c>
      <c r="U44" s="12"/>
      <c r="V44" s="12">
        <v>10</v>
      </c>
      <c r="W44" s="19">
        <f>ROUND(+IF(V44&gt;0,T44/V44,""),2)</f>
        <v>5.01</v>
      </c>
      <c r="X44" s="111"/>
    </row>
    <row r="45" spans="1:24" ht="12.75" hidden="1" outlineLevel="1">
      <c r="A45" s="60"/>
      <c r="B45" s="61"/>
      <c r="C45" s="64"/>
      <c r="D45" s="63"/>
      <c r="E45" s="38"/>
      <c r="F45" s="33"/>
      <c r="G45" s="34"/>
      <c r="H45" s="39"/>
      <c r="I45" s="39"/>
      <c r="J45" s="36">
        <f t="shared" si="0"/>
      </c>
      <c r="K45" s="37">
        <f t="shared" si="1"/>
      </c>
      <c r="L45" s="31"/>
      <c r="M45" s="33"/>
      <c r="N45" s="34"/>
      <c r="O45" s="36"/>
      <c r="P45" s="37">
        <f t="shared" si="2"/>
      </c>
      <c r="Q45" s="54"/>
      <c r="S45" s="110"/>
      <c r="T45" s="12"/>
      <c r="U45" s="12"/>
      <c r="V45" s="12"/>
      <c r="W45" s="19"/>
      <c r="X45" s="111"/>
    </row>
    <row r="46" spans="1:24" ht="12.75" hidden="1" outlineLevel="1">
      <c r="A46" s="60"/>
      <c r="B46" s="61"/>
      <c r="C46" s="64"/>
      <c r="D46" s="63"/>
      <c r="E46" s="38" t="s">
        <v>27</v>
      </c>
      <c r="F46" s="33">
        <v>2</v>
      </c>
      <c r="G46" s="34" t="s">
        <v>8</v>
      </c>
      <c r="H46" s="39">
        <v>0.1</v>
      </c>
      <c r="I46" s="39">
        <f>thresholdbrush</f>
        <v>9.5088</v>
      </c>
      <c r="J46" s="36">
        <f t="shared" si="0"/>
        <v>12.5088</v>
      </c>
      <c r="K46" s="37">
        <f t="shared" si="1"/>
        <v>25.0176</v>
      </c>
      <c r="L46" s="69"/>
      <c r="M46" s="33">
        <v>2</v>
      </c>
      <c r="N46" s="34" t="s">
        <v>8</v>
      </c>
      <c r="O46" s="39">
        <f>thresholdbrush</f>
        <v>9.5088</v>
      </c>
      <c r="P46" s="37">
        <f t="shared" si="2"/>
        <v>19.0176</v>
      </c>
      <c r="Q46" s="96"/>
      <c r="S46" s="110" t="str">
        <f>+E46</f>
        <v>Pin on bottom brush strip</v>
      </c>
      <c r="T46" s="114">
        <f>+K46</f>
        <v>25.0176</v>
      </c>
      <c r="U46" s="12"/>
      <c r="V46" s="12">
        <v>10</v>
      </c>
      <c r="W46" s="19">
        <f>ROUND(+IF(V46&gt;0,T46/V46,""),2)</f>
        <v>2.5</v>
      </c>
      <c r="X46" s="111"/>
    </row>
    <row r="47" spans="1:24" ht="12.75" hidden="1" outlineLevel="1">
      <c r="A47" s="60"/>
      <c r="B47" s="61"/>
      <c r="C47" s="64"/>
      <c r="D47" s="63"/>
      <c r="E47" s="38"/>
      <c r="F47" s="33"/>
      <c r="G47" s="34"/>
      <c r="H47" s="39"/>
      <c r="I47" s="39"/>
      <c r="J47" s="36">
        <f t="shared" si="0"/>
      </c>
      <c r="K47" s="37">
        <f t="shared" si="1"/>
      </c>
      <c r="L47" s="31"/>
      <c r="M47" s="33"/>
      <c r="N47" s="34"/>
      <c r="O47" s="36"/>
      <c r="P47" s="37">
        <f t="shared" si="2"/>
      </c>
      <c r="Q47" s="54"/>
      <c r="S47" s="110"/>
      <c r="T47" s="12"/>
      <c r="U47" s="12"/>
      <c r="V47" s="12"/>
      <c r="W47" s="19"/>
      <c r="X47" s="111"/>
    </row>
    <row r="48" spans="1:24" ht="12.75" hidden="1" outlineLevel="1">
      <c r="A48" s="60"/>
      <c r="B48" s="61"/>
      <c r="C48" s="64"/>
      <c r="D48" s="63"/>
      <c r="E48" s="38" t="s">
        <v>366</v>
      </c>
      <c r="F48" s="33"/>
      <c r="G48" s="34"/>
      <c r="H48" s="39"/>
      <c r="I48" s="39"/>
      <c r="J48" s="36">
        <f t="shared" si="0"/>
      </c>
      <c r="K48" s="37">
        <f t="shared" si="1"/>
      </c>
      <c r="L48" s="31"/>
      <c r="M48" s="33" t="s">
        <v>1</v>
      </c>
      <c r="N48" s="34"/>
      <c r="O48" s="36">
        <v>5</v>
      </c>
      <c r="P48" s="37">
        <f t="shared" si="2"/>
        <v>5</v>
      </c>
      <c r="Q48" s="54"/>
      <c r="S48" s="110" t="str">
        <f>+E48</f>
        <v>Delivery internet sourced materials</v>
      </c>
      <c r="T48" s="114">
        <f>+K48</f>
      </c>
      <c r="U48" s="12"/>
      <c r="V48" s="12"/>
      <c r="W48" s="19"/>
      <c r="X48" s="111"/>
    </row>
    <row r="49" spans="1:24" ht="12.75" hidden="1" outlineLevel="1">
      <c r="A49" s="60"/>
      <c r="B49" s="61"/>
      <c r="C49" s="64"/>
      <c r="D49" s="63"/>
      <c r="E49" s="38"/>
      <c r="F49" s="33"/>
      <c r="G49" s="34"/>
      <c r="H49" s="39"/>
      <c r="I49" s="39"/>
      <c r="J49" s="36"/>
      <c r="K49" s="37"/>
      <c r="L49" s="31"/>
      <c r="M49" s="33"/>
      <c r="N49" s="34"/>
      <c r="O49" s="36"/>
      <c r="P49" s="37"/>
      <c r="Q49" s="54"/>
      <c r="S49" s="110"/>
      <c r="T49" s="114"/>
      <c r="U49" s="12"/>
      <c r="V49" s="12"/>
      <c r="W49" s="19"/>
      <c r="X49" s="111"/>
    </row>
    <row r="50" spans="1:24" ht="12.75" hidden="1" outlineLevel="1">
      <c r="A50" s="60"/>
      <c r="B50" s="61"/>
      <c r="C50" s="64"/>
      <c r="D50" s="63"/>
      <c r="E50" s="38" t="s">
        <v>362</v>
      </c>
      <c r="F50" s="33">
        <v>10</v>
      </c>
      <c r="G50" s="34" t="s">
        <v>363</v>
      </c>
      <c r="H50" s="39"/>
      <c r="I50" s="39"/>
      <c r="J50" s="36">
        <f>SUM(K40:K49)</f>
        <v>350.15520000000004</v>
      </c>
      <c r="K50" s="37">
        <f>+J50*F50%</f>
        <v>35.01552</v>
      </c>
      <c r="L50" s="31"/>
      <c r="M50" s="33"/>
      <c r="N50" s="34"/>
      <c r="O50" s="36"/>
      <c r="P50" s="37"/>
      <c r="Q50" s="54"/>
      <c r="S50" s="110"/>
      <c r="T50" s="114"/>
      <c r="U50" s="12"/>
      <c r="V50" s="12"/>
      <c r="W50" s="19"/>
      <c r="X50" s="111"/>
    </row>
    <row r="51" spans="1:24" ht="12.75" hidden="1" outlineLevel="1">
      <c r="A51" s="60"/>
      <c r="B51" s="61"/>
      <c r="C51" s="64"/>
      <c r="D51" s="63"/>
      <c r="E51" s="38"/>
      <c r="F51" s="33"/>
      <c r="G51" s="34"/>
      <c r="H51" s="39"/>
      <c r="I51" s="39"/>
      <c r="J51" s="36">
        <f>IF(+I51+H51&gt;0,I51+(H51*labour),"")</f>
      </c>
      <c r="K51" s="37">
        <f>+IF(F51="item",J51,IF(F51&lt;&gt;0,F51*J51,""))</f>
      </c>
      <c r="L51" s="31"/>
      <c r="M51" s="33"/>
      <c r="N51" s="34"/>
      <c r="O51" s="36"/>
      <c r="P51" s="37">
        <f>+IF(M51="item",O51,IF(M51&lt;&gt;0,M51*O51,""))</f>
      </c>
      <c r="Q51" s="54"/>
      <c r="S51" s="110"/>
      <c r="T51" s="12"/>
      <c r="U51" s="12"/>
      <c r="V51" s="12"/>
      <c r="W51" s="19"/>
      <c r="X51" s="111"/>
    </row>
    <row r="52" spans="1:24" ht="12.75" hidden="1" outlineLevel="1">
      <c r="A52" s="60"/>
      <c r="B52" s="61"/>
      <c r="C52" s="64"/>
      <c r="D52" s="63"/>
      <c r="E52" s="38"/>
      <c r="F52" s="33"/>
      <c r="G52" s="34"/>
      <c r="H52" s="39"/>
      <c r="I52" s="39"/>
      <c r="J52" s="36">
        <f>IF(+I52+H52&gt;0,I52+(H52*labour),"")</f>
      </c>
      <c r="K52" s="37">
        <f>+IF(F52="item",J52,IF(F52&lt;&gt;0,F52*J52,""))</f>
      </c>
      <c r="L52" s="31"/>
      <c r="M52" s="33"/>
      <c r="N52" s="34"/>
      <c r="O52" s="36"/>
      <c r="P52" s="37">
        <f>+IF(M52="item",O52,IF(M52&lt;&gt;0,M52*O52,""))</f>
      </c>
      <c r="Q52" s="54"/>
      <c r="S52" s="110"/>
      <c r="T52" s="12"/>
      <c r="U52" s="12"/>
      <c r="V52" s="12"/>
      <c r="W52" s="19"/>
      <c r="X52" s="111"/>
    </row>
    <row r="53" spans="1:24" ht="12.75" collapsed="1">
      <c r="A53" s="60"/>
      <c r="B53" s="61"/>
      <c r="C53" s="64"/>
      <c r="D53" s="63"/>
      <c r="E53" s="38"/>
      <c r="F53" s="33"/>
      <c r="G53" s="34"/>
      <c r="H53" s="39"/>
      <c r="I53" s="39"/>
      <c r="J53" s="36">
        <f>IF(+I53+H53&gt;0,I53+(H53*labour),"")</f>
      </c>
      <c r="K53" s="37">
        <f>+IF(F53="item",J53,IF(F53&lt;&gt;0,F53*J53,""))</f>
      </c>
      <c r="L53" s="31"/>
      <c r="M53" s="33"/>
      <c r="N53" s="34"/>
      <c r="O53" s="36"/>
      <c r="P53" s="37">
        <f>+IF(M53="item",O53,IF(M53&lt;&gt;0,M53*O53,""))</f>
      </c>
      <c r="Q53" s="54"/>
      <c r="S53" s="110"/>
      <c r="T53" s="12"/>
      <c r="U53" s="12"/>
      <c r="V53" s="12"/>
      <c r="W53" s="19"/>
      <c r="X53" s="111"/>
    </row>
    <row r="54" spans="1:24" ht="12.75">
      <c r="A54" s="60"/>
      <c r="B54" s="61"/>
      <c r="C54" s="64"/>
      <c r="D54" s="63"/>
      <c r="E54" s="32" t="s">
        <v>86</v>
      </c>
      <c r="F54" s="33"/>
      <c r="G54" s="34"/>
      <c r="H54" s="35"/>
      <c r="I54" s="35"/>
      <c r="J54" s="36"/>
      <c r="K54" s="53">
        <f>SUM(K56:K63)</f>
        <v>139.78800000000004</v>
      </c>
      <c r="L54" s="31"/>
      <c r="M54" s="33"/>
      <c r="N54" s="34"/>
      <c r="O54" s="36"/>
      <c r="P54" s="53">
        <f>SUM(P56:P63)</f>
        <v>94.08000000000001</v>
      </c>
      <c r="Q54" s="54"/>
      <c r="S54" s="110"/>
      <c r="T54" s="12"/>
      <c r="U54" s="12"/>
      <c r="V54" s="12"/>
      <c r="W54" s="112">
        <f>SUM(W56:W60)</f>
        <v>12.71</v>
      </c>
      <c r="X54" s="111"/>
    </row>
    <row r="55" spans="1:24" ht="12.75">
      <c r="A55" s="60"/>
      <c r="B55" s="61"/>
      <c r="C55" s="64"/>
      <c r="D55" s="63"/>
      <c r="E55" s="32"/>
      <c r="F55" s="33"/>
      <c r="G55" s="34"/>
      <c r="H55" s="35"/>
      <c r="I55" s="35"/>
      <c r="J55" s="36"/>
      <c r="K55" s="37">
        <f>+IF(F55="item",J55,IF(F55&lt;&gt;0,F55*J55,""))</f>
      </c>
      <c r="L55" s="31"/>
      <c r="M55" s="33"/>
      <c r="N55" s="34"/>
      <c r="O55" s="36"/>
      <c r="P55" s="37"/>
      <c r="Q55" s="54"/>
      <c r="S55" s="110"/>
      <c r="T55" s="12"/>
      <c r="U55" s="12"/>
      <c r="V55" s="12"/>
      <c r="W55" s="19"/>
      <c r="X55" s="111"/>
    </row>
    <row r="56" spans="1:24" ht="38.25" hidden="1" outlineLevel="1">
      <c r="A56" s="60"/>
      <c r="B56" s="61"/>
      <c r="C56" s="64"/>
      <c r="D56" s="63"/>
      <c r="E56" s="38" t="s">
        <v>17</v>
      </c>
      <c r="F56" s="33"/>
      <c r="G56" s="34"/>
      <c r="H56" s="35"/>
      <c r="I56" s="35"/>
      <c r="J56" s="36"/>
      <c r="K56" s="37"/>
      <c r="L56" s="54" t="s">
        <v>22</v>
      </c>
      <c r="M56" s="33"/>
      <c r="N56" s="34"/>
      <c r="O56" s="36"/>
      <c r="P56" s="37"/>
      <c r="Q56" s="54" t="s">
        <v>22</v>
      </c>
      <c r="S56" s="110"/>
      <c r="T56" s="12"/>
      <c r="U56" s="12"/>
      <c r="V56" s="12"/>
      <c r="W56" s="19"/>
      <c r="X56" s="111"/>
    </row>
    <row r="57" spans="1:24" ht="12.75" hidden="1" outlineLevel="1">
      <c r="A57" s="60"/>
      <c r="B57" s="61"/>
      <c r="C57" s="64"/>
      <c r="D57" s="63"/>
      <c r="E57" s="32"/>
      <c r="F57" s="33"/>
      <c r="G57" s="34"/>
      <c r="H57" s="35"/>
      <c r="I57" s="35"/>
      <c r="J57" s="36"/>
      <c r="K57" s="37"/>
      <c r="L57" s="31"/>
      <c r="M57" s="33"/>
      <c r="N57" s="34"/>
      <c r="O57" s="36"/>
      <c r="P57" s="37"/>
      <c r="Q57" s="54"/>
      <c r="S57" s="113" t="s">
        <v>257</v>
      </c>
      <c r="T57" s="12"/>
      <c r="U57" s="12"/>
      <c r="V57" s="12"/>
      <c r="W57" s="19"/>
      <c r="X57" s="111"/>
    </row>
    <row r="58" spans="1:24" ht="38.25" customHeight="1" hidden="1" outlineLevel="1">
      <c r="A58" s="60"/>
      <c r="B58" s="61"/>
      <c r="C58" s="64"/>
      <c r="D58" s="63"/>
      <c r="E58" s="52" t="s">
        <v>18</v>
      </c>
      <c r="F58" s="33">
        <v>16</v>
      </c>
      <c r="G58" s="34" t="s">
        <v>8</v>
      </c>
      <c r="H58" s="39">
        <v>0.05</v>
      </c>
      <c r="I58" s="39">
        <f>bulb</f>
        <v>3.3600000000000008</v>
      </c>
      <c r="J58" s="36">
        <f>IF(+I58+H58&gt;0,I58+(H58*labour),"")</f>
        <v>4.860000000000001</v>
      </c>
      <c r="K58" s="37">
        <f>+IF(F58="item",J58,IF(F58&lt;&gt;0,F58*J58,""))</f>
        <v>77.76000000000002</v>
      </c>
      <c r="L58" s="31" t="s">
        <v>21</v>
      </c>
      <c r="M58" s="33">
        <f>+F58</f>
        <v>16</v>
      </c>
      <c r="N58" s="34" t="s">
        <v>8</v>
      </c>
      <c r="O58" s="36">
        <f>bulb</f>
        <v>3.3600000000000008</v>
      </c>
      <c r="P58" s="37">
        <f>+IF(M58="item",O58,IF(M58&lt;&gt;0,M58*O58,""))</f>
        <v>53.76000000000001</v>
      </c>
      <c r="Q58" s="54" t="s">
        <v>21</v>
      </c>
      <c r="S58" s="110" t="str">
        <f>+E58</f>
        <v>Pendants/ standard and table lamps</v>
      </c>
      <c r="T58" s="114">
        <f>+K58</f>
        <v>77.76000000000002</v>
      </c>
      <c r="U58" s="12"/>
      <c r="V58" s="12">
        <v>10</v>
      </c>
      <c r="W58" s="19">
        <f>ROUND(+IF(V58&gt;0,T58/V58,""),2)</f>
        <v>7.78</v>
      </c>
      <c r="X58" s="111"/>
    </row>
    <row r="59" spans="1:24" ht="12.75" hidden="1" outlineLevel="1">
      <c r="A59" s="60"/>
      <c r="B59" s="61"/>
      <c r="C59" s="64"/>
      <c r="D59" s="63"/>
      <c r="E59" s="52"/>
      <c r="F59" s="33"/>
      <c r="G59" s="34"/>
      <c r="H59" s="39"/>
      <c r="I59" s="39"/>
      <c r="J59" s="36"/>
      <c r="K59" s="37"/>
      <c r="L59" s="31"/>
      <c r="M59" s="33"/>
      <c r="N59" s="34"/>
      <c r="O59" s="36"/>
      <c r="P59" s="37"/>
      <c r="Q59" s="54"/>
      <c r="S59" s="110"/>
      <c r="T59" s="114"/>
      <c r="U59" s="12"/>
      <c r="V59" s="12"/>
      <c r="W59" s="19"/>
      <c r="X59" s="111"/>
    </row>
    <row r="60" spans="1:24" ht="12.75" hidden="1" outlineLevel="1">
      <c r="A60" s="60"/>
      <c r="B60" s="61"/>
      <c r="C60" s="64"/>
      <c r="D60" s="63"/>
      <c r="E60" s="52" t="s">
        <v>19</v>
      </c>
      <c r="F60" s="33">
        <v>6</v>
      </c>
      <c r="G60" s="34" t="s">
        <v>8</v>
      </c>
      <c r="H60" s="39">
        <v>0.05</v>
      </c>
      <c r="I60" s="39">
        <f>spot</f>
        <v>6.7200000000000015</v>
      </c>
      <c r="J60" s="36">
        <f>IF(+I60+H60&gt;0,I60+(H60*labour),"")</f>
        <v>8.220000000000002</v>
      </c>
      <c r="K60" s="37">
        <f>+IF(F60="item",J60,IF(F60&lt;&gt;0,F60*J60,""))</f>
        <v>49.320000000000014</v>
      </c>
      <c r="L60" s="31" t="s">
        <v>20</v>
      </c>
      <c r="M60" s="33">
        <f>+F60</f>
        <v>6</v>
      </c>
      <c r="N60" s="34" t="s">
        <v>8</v>
      </c>
      <c r="O60" s="36">
        <f>spot</f>
        <v>6.7200000000000015</v>
      </c>
      <c r="P60" s="37">
        <f>+IF(M60="item",O60,IF(M60&lt;&gt;0,M60*O60,""))</f>
        <v>40.32000000000001</v>
      </c>
      <c r="Q60" s="54" t="s">
        <v>20</v>
      </c>
      <c r="S60" s="110" t="str">
        <f>+E60</f>
        <v>GU10 spot lamps</v>
      </c>
      <c r="T60" s="114">
        <f>+K60</f>
        <v>49.320000000000014</v>
      </c>
      <c r="U60" s="12"/>
      <c r="V60" s="12">
        <v>10</v>
      </c>
      <c r="W60" s="19">
        <f>ROUND(+IF(V60&gt;0,T60/V60,""),2)</f>
        <v>4.93</v>
      </c>
      <c r="X60" s="111"/>
    </row>
    <row r="61" spans="1:24" ht="12.75" hidden="1" outlineLevel="1">
      <c r="A61" s="60"/>
      <c r="B61" s="61"/>
      <c r="C61" s="64"/>
      <c r="D61" s="63"/>
      <c r="E61" s="52"/>
      <c r="F61" s="33"/>
      <c r="G61" s="34"/>
      <c r="H61" s="39"/>
      <c r="I61" s="39"/>
      <c r="J61" s="36"/>
      <c r="K61" s="37"/>
      <c r="L61" s="31"/>
      <c r="M61" s="33"/>
      <c r="N61" s="34"/>
      <c r="O61" s="36"/>
      <c r="P61" s="37"/>
      <c r="Q61" s="54"/>
      <c r="S61" s="110"/>
      <c r="T61" s="114"/>
      <c r="U61" s="12"/>
      <c r="V61" s="12"/>
      <c r="W61" s="19"/>
      <c r="X61" s="111"/>
    </row>
    <row r="62" spans="1:24" ht="12.75" hidden="1" outlineLevel="1">
      <c r="A62" s="60"/>
      <c r="B62" s="61"/>
      <c r="C62" s="64"/>
      <c r="D62" s="63"/>
      <c r="E62" s="38" t="s">
        <v>362</v>
      </c>
      <c r="F62" s="33">
        <v>10</v>
      </c>
      <c r="G62" s="34" t="s">
        <v>363</v>
      </c>
      <c r="H62" s="39"/>
      <c r="I62" s="39"/>
      <c r="J62" s="36">
        <f>SUM(K56:K61)</f>
        <v>127.08000000000004</v>
      </c>
      <c r="K62" s="37">
        <f>+J62*F62%</f>
        <v>12.708000000000006</v>
      </c>
      <c r="L62" s="31"/>
      <c r="M62" s="33"/>
      <c r="N62" s="34"/>
      <c r="O62" s="36"/>
      <c r="P62" s="37"/>
      <c r="Q62" s="54"/>
      <c r="S62" s="110"/>
      <c r="T62" s="114"/>
      <c r="U62" s="12"/>
      <c r="V62" s="12"/>
      <c r="W62" s="19"/>
      <c r="X62" s="111"/>
    </row>
    <row r="63" spans="1:24" ht="12.75" hidden="1" outlineLevel="1">
      <c r="A63" s="60"/>
      <c r="B63" s="61"/>
      <c r="C63" s="64"/>
      <c r="D63" s="63"/>
      <c r="E63" s="38"/>
      <c r="F63" s="33"/>
      <c r="G63" s="34"/>
      <c r="H63" s="39"/>
      <c r="I63" s="39"/>
      <c r="J63" s="36">
        <f aca="true" t="shared" si="3" ref="J63:J73">IF(+I63+H63&gt;0,I63+(H63*labour),"")</f>
      </c>
      <c r="K63" s="37">
        <f>+IF(F63="item",J63,IF(F63&lt;&gt;0,F63*J63,""))</f>
      </c>
      <c r="L63" s="31"/>
      <c r="M63" s="33"/>
      <c r="N63" s="34"/>
      <c r="O63" s="36"/>
      <c r="P63" s="37">
        <f aca="true" t="shared" si="4" ref="P63:P73">+IF(M63="item",O63,IF(M63&lt;&gt;0,M63*O63,""))</f>
      </c>
      <c r="Q63" s="54"/>
      <c r="S63" s="110"/>
      <c r="T63" s="114"/>
      <c r="U63" s="12"/>
      <c r="V63" s="12"/>
      <c r="W63" s="19"/>
      <c r="X63" s="111"/>
    </row>
    <row r="64" spans="1:24" ht="12.75" collapsed="1">
      <c r="A64" s="60"/>
      <c r="B64" s="61"/>
      <c r="C64" s="64"/>
      <c r="D64" s="63"/>
      <c r="E64" s="38"/>
      <c r="F64" s="33"/>
      <c r="G64" s="34"/>
      <c r="H64" s="39"/>
      <c r="I64" s="39"/>
      <c r="J64" s="36">
        <f t="shared" si="3"/>
      </c>
      <c r="K64" s="37">
        <f>+IF(F64="item",J64,IF(F64&lt;&gt;0,F64*J64,""))</f>
      </c>
      <c r="L64" s="31"/>
      <c r="M64" s="33"/>
      <c r="N64" s="34"/>
      <c r="O64" s="36"/>
      <c r="P64" s="37">
        <f t="shared" si="4"/>
      </c>
      <c r="Q64" s="54"/>
      <c r="S64" s="110"/>
      <c r="T64" s="12"/>
      <c r="U64" s="12"/>
      <c r="V64" s="12"/>
      <c r="W64" s="19"/>
      <c r="X64" s="111"/>
    </row>
    <row r="65" spans="1:24" ht="39" customHeight="1">
      <c r="A65" s="60"/>
      <c r="B65" s="61"/>
      <c r="C65" s="64"/>
      <c r="D65" s="63"/>
      <c r="E65" s="32" t="s">
        <v>87</v>
      </c>
      <c r="F65" s="33"/>
      <c r="G65" s="34"/>
      <c r="H65" s="39"/>
      <c r="I65" s="39"/>
      <c r="J65" s="36">
        <f t="shared" si="3"/>
      </c>
      <c r="K65" s="53">
        <f>SUM(K67:K76)</f>
        <v>2104.9249375</v>
      </c>
      <c r="L65" s="31" t="s">
        <v>54</v>
      </c>
      <c r="M65" s="72"/>
      <c r="N65" s="73"/>
      <c r="O65" s="74"/>
      <c r="P65" s="75">
        <f t="shared" si="4"/>
      </c>
      <c r="Q65" s="76"/>
      <c r="S65" s="110"/>
      <c r="T65" s="12"/>
      <c r="U65" s="12"/>
      <c r="V65" s="12"/>
      <c r="W65" s="112">
        <f>SUM(W66:W76)</f>
        <v>65.00999999999999</v>
      </c>
      <c r="X65" s="111"/>
    </row>
    <row r="66" spans="1:24" ht="12.75" hidden="1" outlineLevel="1">
      <c r="A66" s="60"/>
      <c r="B66" s="61"/>
      <c r="C66" s="64"/>
      <c r="D66" s="63"/>
      <c r="E66" s="38"/>
      <c r="F66" s="33"/>
      <c r="G66" s="34"/>
      <c r="H66" s="39"/>
      <c r="I66" s="39"/>
      <c r="J66" s="36">
        <f t="shared" si="3"/>
      </c>
      <c r="K66" s="37">
        <f aca="true" t="shared" si="5" ref="K66:K73">+IF(F66="item",J66,IF(F66&lt;&gt;0,F66*J66,""))</f>
      </c>
      <c r="L66" s="31"/>
      <c r="M66" s="72"/>
      <c r="N66" s="73"/>
      <c r="O66" s="74"/>
      <c r="P66" s="75">
        <f t="shared" si="4"/>
      </c>
      <c r="Q66" s="76"/>
      <c r="S66" s="113" t="s">
        <v>257</v>
      </c>
      <c r="T66" s="12"/>
      <c r="U66" s="12"/>
      <c r="V66" s="12"/>
      <c r="W66" s="19"/>
      <c r="X66" s="111"/>
    </row>
    <row r="67" spans="1:24" ht="12.75" hidden="1" outlineLevel="1">
      <c r="A67" s="60"/>
      <c r="B67" s="61"/>
      <c r="C67" s="64"/>
      <c r="D67" s="65"/>
      <c r="E67" s="38" t="s">
        <v>51</v>
      </c>
      <c r="F67" s="33">
        <v>1</v>
      </c>
      <c r="G67" s="34" t="s">
        <v>8</v>
      </c>
      <c r="H67" s="39">
        <v>3</v>
      </c>
      <c r="I67" s="39">
        <f>prog</f>
        <v>73.70812499999998</v>
      </c>
      <c r="J67" s="36">
        <f t="shared" si="3"/>
        <v>163.708125</v>
      </c>
      <c r="K67" s="37">
        <f t="shared" si="5"/>
        <v>163.708125</v>
      </c>
      <c r="L67" s="31" t="s">
        <v>258</v>
      </c>
      <c r="M67" s="72"/>
      <c r="N67" s="73"/>
      <c r="O67" s="74"/>
      <c r="P67" s="75">
        <f t="shared" si="4"/>
      </c>
      <c r="Q67" s="76"/>
      <c r="S67" s="110" t="str">
        <f>+E67</f>
        <v>Two zone heating controller</v>
      </c>
      <c r="T67" s="114">
        <f>+K67</f>
        <v>163.708125</v>
      </c>
      <c r="U67" s="12"/>
      <c r="V67" s="12">
        <v>20</v>
      </c>
      <c r="W67" s="19">
        <f>ROUND(+IF(V67&gt;0,T67/V67,""),2)</f>
        <v>8.19</v>
      </c>
      <c r="X67" s="111"/>
    </row>
    <row r="68" spans="1:24" ht="12.75" hidden="1" outlineLevel="1">
      <c r="A68" s="60"/>
      <c r="B68" s="61"/>
      <c r="C68" s="64"/>
      <c r="D68" s="63"/>
      <c r="E68" s="38"/>
      <c r="F68" s="33"/>
      <c r="G68" s="34"/>
      <c r="H68" s="39"/>
      <c r="I68" s="39"/>
      <c r="J68" s="36">
        <f t="shared" si="3"/>
      </c>
      <c r="K68" s="37">
        <f t="shared" si="5"/>
      </c>
      <c r="L68" s="31"/>
      <c r="M68" s="72"/>
      <c r="N68" s="73"/>
      <c r="O68" s="74"/>
      <c r="P68" s="75">
        <f t="shared" si="4"/>
      </c>
      <c r="Q68" s="76"/>
      <c r="S68" s="110"/>
      <c r="T68" s="12"/>
      <c r="U68" s="12"/>
      <c r="V68" s="12"/>
      <c r="W68" s="19"/>
      <c r="X68" s="111"/>
    </row>
    <row r="69" spans="1:24" ht="12.75" hidden="1" outlineLevel="1">
      <c r="A69" s="60"/>
      <c r="B69" s="61"/>
      <c r="C69" s="64"/>
      <c r="D69" s="63"/>
      <c r="E69" s="38" t="s">
        <v>52</v>
      </c>
      <c r="F69" s="33">
        <v>12</v>
      </c>
      <c r="G69" s="34" t="s">
        <v>8</v>
      </c>
      <c r="H69" s="39">
        <v>0.5</v>
      </c>
      <c r="I69" s="39">
        <f>TRV</f>
        <v>11.66125</v>
      </c>
      <c r="J69" s="36">
        <f t="shared" si="3"/>
        <v>26.661250000000003</v>
      </c>
      <c r="K69" s="37">
        <f t="shared" si="5"/>
        <v>319.93500000000006</v>
      </c>
      <c r="L69" s="31"/>
      <c r="M69" s="72"/>
      <c r="N69" s="73"/>
      <c r="O69" s="74"/>
      <c r="P69" s="75">
        <f t="shared" si="4"/>
      </c>
      <c r="Q69" s="76"/>
      <c r="S69" s="110" t="str">
        <f>+E69</f>
        <v>Thermostatic radiator valves</v>
      </c>
      <c r="T69" s="114">
        <f>+K69</f>
        <v>319.93500000000006</v>
      </c>
      <c r="U69" s="12"/>
      <c r="V69" s="12">
        <v>10</v>
      </c>
      <c r="W69" s="19">
        <f>ROUND(+IF(V69&gt;0,T69/V69,""),2)</f>
        <v>31.99</v>
      </c>
      <c r="X69" s="111"/>
    </row>
    <row r="70" spans="1:24" ht="12.75" hidden="1" outlineLevel="1">
      <c r="A70" s="60"/>
      <c r="B70" s="61"/>
      <c r="C70" s="64"/>
      <c r="D70" s="63"/>
      <c r="E70" s="38"/>
      <c r="F70" s="33"/>
      <c r="G70" s="34"/>
      <c r="H70" s="39"/>
      <c r="I70" s="39"/>
      <c r="J70" s="36">
        <f t="shared" si="3"/>
      </c>
      <c r="K70" s="37">
        <f t="shared" si="5"/>
      </c>
      <c r="L70" s="31"/>
      <c r="M70" s="72"/>
      <c r="N70" s="73"/>
      <c r="O70" s="74"/>
      <c r="P70" s="75">
        <f t="shared" si="4"/>
      </c>
      <c r="Q70" s="76"/>
      <c r="S70" s="110"/>
      <c r="T70" s="12"/>
      <c r="U70" s="12"/>
      <c r="V70" s="12"/>
      <c r="W70" s="19"/>
      <c r="X70" s="111"/>
    </row>
    <row r="71" spans="1:24" ht="12.75" hidden="1" outlineLevel="1">
      <c r="A71" s="60"/>
      <c r="B71" s="61"/>
      <c r="C71" s="64"/>
      <c r="D71" s="63"/>
      <c r="E71" s="38" t="s">
        <v>53</v>
      </c>
      <c r="F71" s="33">
        <v>1</v>
      </c>
      <c r="G71" s="34" t="s">
        <v>8</v>
      </c>
      <c r="H71" s="39">
        <v>0.5</v>
      </c>
      <c r="I71" s="39">
        <f>tankstat</f>
        <v>14.924999999999999</v>
      </c>
      <c r="J71" s="36">
        <f t="shared" si="3"/>
        <v>29.924999999999997</v>
      </c>
      <c r="K71" s="37">
        <f t="shared" si="5"/>
        <v>29.924999999999997</v>
      </c>
      <c r="L71" s="31"/>
      <c r="M71" s="72"/>
      <c r="N71" s="73"/>
      <c r="O71" s="74"/>
      <c r="P71" s="75">
        <f t="shared" si="4"/>
      </c>
      <c r="Q71" s="76"/>
      <c r="S71" s="110" t="str">
        <f>+E71</f>
        <v>Thermostatic control to hot water tank</v>
      </c>
      <c r="T71" s="114">
        <f>+K71</f>
        <v>29.924999999999997</v>
      </c>
      <c r="U71" s="12"/>
      <c r="V71" s="12">
        <v>20</v>
      </c>
      <c r="W71" s="19">
        <f>ROUND(+IF(V71&gt;0,T71/V71,""),2)</f>
        <v>1.5</v>
      </c>
      <c r="X71" s="111"/>
    </row>
    <row r="72" spans="1:24" ht="12.75" hidden="1" outlineLevel="1">
      <c r="A72" s="60"/>
      <c r="B72" s="61"/>
      <c r="C72" s="64"/>
      <c r="D72" s="63"/>
      <c r="E72" s="38"/>
      <c r="F72" s="33"/>
      <c r="G72" s="34"/>
      <c r="H72" s="39"/>
      <c r="I72" s="39"/>
      <c r="J72" s="36">
        <f t="shared" si="3"/>
      </c>
      <c r="K72" s="37">
        <f t="shared" si="5"/>
      </c>
      <c r="L72" s="31"/>
      <c r="M72" s="72"/>
      <c r="N72" s="73"/>
      <c r="O72" s="74"/>
      <c r="P72" s="75">
        <f t="shared" si="4"/>
      </c>
      <c r="Q72" s="76"/>
      <c r="S72" s="110"/>
      <c r="T72" s="12"/>
      <c r="U72" s="12"/>
      <c r="V72" s="12"/>
      <c r="W72" s="19"/>
      <c r="X72" s="111"/>
    </row>
    <row r="73" spans="1:24" ht="25.5" hidden="1" outlineLevel="1">
      <c r="A73" s="60"/>
      <c r="B73" s="61"/>
      <c r="C73" s="64"/>
      <c r="D73" s="63"/>
      <c r="E73" s="38" t="s">
        <v>259</v>
      </c>
      <c r="F73" s="33" t="s">
        <v>1</v>
      </c>
      <c r="G73" s="34"/>
      <c r="H73" s="39">
        <v>40</v>
      </c>
      <c r="I73" s="39">
        <v>200</v>
      </c>
      <c r="J73" s="36">
        <f t="shared" si="3"/>
        <v>1400</v>
      </c>
      <c r="K73" s="37">
        <f t="shared" si="5"/>
        <v>1400</v>
      </c>
      <c r="L73" s="31" t="s">
        <v>260</v>
      </c>
      <c r="M73" s="72"/>
      <c r="N73" s="73"/>
      <c r="O73" s="74"/>
      <c r="P73" s="75">
        <f t="shared" si="4"/>
      </c>
      <c r="Q73" s="76"/>
      <c r="S73" s="110" t="str">
        <f>+E73</f>
        <v>Conversion to two zone heating</v>
      </c>
      <c r="T73" s="114">
        <f>+K73</f>
        <v>1400</v>
      </c>
      <c r="U73" s="12"/>
      <c r="V73" s="12">
        <v>60</v>
      </c>
      <c r="W73" s="19">
        <f>ROUND(+IF(V73&gt;0,T73/V73,""),2)</f>
        <v>23.33</v>
      </c>
      <c r="X73" s="111"/>
    </row>
    <row r="74" spans="1:24" ht="12.75" hidden="1" outlineLevel="1">
      <c r="A74" s="60"/>
      <c r="B74" s="61"/>
      <c r="C74" s="64"/>
      <c r="D74" s="63"/>
      <c r="E74" s="38"/>
      <c r="F74" s="33"/>
      <c r="G74" s="34"/>
      <c r="H74" s="39"/>
      <c r="I74" s="39"/>
      <c r="J74" s="36"/>
      <c r="K74" s="37"/>
      <c r="L74" s="31"/>
      <c r="M74" s="72"/>
      <c r="N74" s="73"/>
      <c r="O74" s="74"/>
      <c r="P74" s="75"/>
      <c r="Q74" s="76"/>
      <c r="S74" s="110"/>
      <c r="T74" s="114"/>
      <c r="U74" s="12"/>
      <c r="V74" s="12"/>
      <c r="W74" s="19"/>
      <c r="X74" s="111"/>
    </row>
    <row r="75" spans="1:24" ht="12.75" hidden="1" outlineLevel="1">
      <c r="A75" s="60"/>
      <c r="B75" s="61"/>
      <c r="C75" s="64"/>
      <c r="D75" s="63"/>
      <c r="E75" s="38" t="s">
        <v>362</v>
      </c>
      <c r="F75" s="33">
        <v>10</v>
      </c>
      <c r="G75" s="34" t="s">
        <v>363</v>
      </c>
      <c r="H75" s="39"/>
      <c r="I75" s="39"/>
      <c r="J75" s="36">
        <f>SUM(K66:K74)</f>
        <v>1913.568125</v>
      </c>
      <c r="K75" s="37">
        <f>+J75*F75%</f>
        <v>191.35681250000002</v>
      </c>
      <c r="L75" s="31"/>
      <c r="M75" s="72"/>
      <c r="N75" s="73"/>
      <c r="O75" s="74"/>
      <c r="P75" s="75"/>
      <c r="Q75" s="76"/>
      <c r="S75" s="110"/>
      <c r="T75" s="114"/>
      <c r="U75" s="12"/>
      <c r="V75" s="12"/>
      <c r="W75" s="19"/>
      <c r="X75" s="111"/>
    </row>
    <row r="76" spans="1:24" ht="12.75" hidden="1" outlineLevel="1">
      <c r="A76" s="60"/>
      <c r="B76" s="61"/>
      <c r="C76" s="64"/>
      <c r="D76" s="63"/>
      <c r="E76" s="38"/>
      <c r="F76" s="33"/>
      <c r="G76" s="34"/>
      <c r="H76" s="39"/>
      <c r="I76" s="39"/>
      <c r="J76" s="36">
        <f aca="true" t="shared" si="6" ref="J76:J81">IF(+I76+H76&gt;0,I76+(H76*labour),"")</f>
      </c>
      <c r="K76" s="37">
        <f>+IF(F76="item",J76,IF(F76&lt;&gt;0,F76*J76,""))</f>
      </c>
      <c r="L76" s="31"/>
      <c r="M76" s="72"/>
      <c r="N76" s="73"/>
      <c r="O76" s="74"/>
      <c r="P76" s="75">
        <f>+IF(M76="item",O76,IF(M76&lt;&gt;0,M76*O76,""))</f>
      </c>
      <c r="Q76" s="76"/>
      <c r="S76" s="110"/>
      <c r="T76" s="12"/>
      <c r="U76" s="12"/>
      <c r="V76" s="12"/>
      <c r="W76" s="19"/>
      <c r="X76" s="111"/>
    </row>
    <row r="77" spans="1:24" ht="12.75" collapsed="1">
      <c r="A77" s="60"/>
      <c r="B77" s="61"/>
      <c r="C77" s="64"/>
      <c r="D77" s="63"/>
      <c r="E77" s="38"/>
      <c r="F77" s="33"/>
      <c r="G77" s="34"/>
      <c r="H77" s="39"/>
      <c r="I77" s="39"/>
      <c r="J77" s="36">
        <f t="shared" si="6"/>
      </c>
      <c r="K77" s="37">
        <f>+IF(F77="item",J77,IF(F77&lt;&gt;0,F77*J77,""))</f>
      </c>
      <c r="L77" s="31"/>
      <c r="M77" s="33"/>
      <c r="N77" s="34"/>
      <c r="O77" s="36"/>
      <c r="P77" s="37">
        <f>+IF(M77="item",O77,IF(M77&lt;&gt;0,M77*O77,""))</f>
      </c>
      <c r="Q77" s="54"/>
      <c r="S77" s="110"/>
      <c r="T77" s="12"/>
      <c r="U77" s="12"/>
      <c r="V77" s="12"/>
      <c r="W77" s="19"/>
      <c r="X77" s="111"/>
    </row>
    <row r="78" spans="1:24" ht="12.75">
      <c r="A78" s="60"/>
      <c r="B78" s="61"/>
      <c r="C78" s="64"/>
      <c r="D78" s="63"/>
      <c r="E78" s="38"/>
      <c r="F78" s="33"/>
      <c r="G78" s="34"/>
      <c r="H78" s="39"/>
      <c r="I78" s="39"/>
      <c r="J78" s="36">
        <f t="shared" si="6"/>
      </c>
      <c r="K78" s="37">
        <f>+IF(F78="item",J78,IF(F78&lt;&gt;0,F78*J78,""))</f>
      </c>
      <c r="L78" s="31"/>
      <c r="M78" s="33"/>
      <c r="N78" s="34"/>
      <c r="O78" s="36"/>
      <c r="P78" s="37">
        <f>+IF(M78="item",O78,IF(M78&lt;&gt;0,M78*O78,""))</f>
      </c>
      <c r="Q78" s="54"/>
      <c r="S78" s="110"/>
      <c r="T78" s="12"/>
      <c r="U78" s="12"/>
      <c r="V78" s="12"/>
      <c r="W78" s="19"/>
      <c r="X78" s="111"/>
    </row>
    <row r="79" spans="1:24" ht="12.75">
      <c r="A79" s="60"/>
      <c r="B79" s="61"/>
      <c r="C79" s="64"/>
      <c r="D79" s="63"/>
      <c r="E79" s="32" t="s">
        <v>88</v>
      </c>
      <c r="F79" s="33"/>
      <c r="G79" s="34"/>
      <c r="H79" s="39"/>
      <c r="I79" s="39"/>
      <c r="J79" s="36">
        <f t="shared" si="6"/>
      </c>
      <c r="K79" s="53">
        <f>SUM(K80:K81)</f>
        <v>277.08333333333337</v>
      </c>
      <c r="L79" s="31"/>
      <c r="M79" s="33"/>
      <c r="N79" s="34"/>
      <c r="O79" s="36"/>
      <c r="P79" s="53">
        <f>SUM(P80:P81)</f>
        <v>157.08333333333337</v>
      </c>
      <c r="Q79" s="54"/>
      <c r="S79" s="113" t="s">
        <v>257</v>
      </c>
      <c r="T79" s="12"/>
      <c r="U79" s="12"/>
      <c r="V79" s="12"/>
      <c r="W79" s="19">
        <f>SUM(W80:W81)</f>
        <v>27.71</v>
      </c>
      <c r="X79" s="111"/>
    </row>
    <row r="80" spans="1:24" ht="12.75" hidden="1" outlineLevel="1">
      <c r="A80" s="60"/>
      <c r="B80" s="61"/>
      <c r="C80" s="64"/>
      <c r="D80" s="63"/>
      <c r="E80" s="38"/>
      <c r="F80" s="33"/>
      <c r="G80" s="34"/>
      <c r="H80" s="39"/>
      <c r="I80" s="39"/>
      <c r="J80" s="36">
        <f t="shared" si="6"/>
      </c>
      <c r="K80" s="37">
        <f>+IF(F80="item",J80,IF(F80&lt;&gt;0,F80*J80,""))</f>
      </c>
      <c r="L80" s="31"/>
      <c r="M80" s="33"/>
      <c r="N80" s="34"/>
      <c r="O80" s="36"/>
      <c r="P80" s="37">
        <f>+IF(M80="item",O80,IF(M80&lt;&gt;0,M80*O80,""))</f>
      </c>
      <c r="Q80" s="54"/>
      <c r="S80" s="110"/>
      <c r="T80" s="12"/>
      <c r="U80" s="12"/>
      <c r="V80" s="12"/>
      <c r="W80" s="19"/>
      <c r="X80" s="111"/>
    </row>
    <row r="81" spans="1:24" ht="25.5" customHeight="1" hidden="1" outlineLevel="1">
      <c r="A81" s="60"/>
      <c r="B81" s="61"/>
      <c r="C81" s="64"/>
      <c r="D81" s="63"/>
      <c r="E81" s="38" t="s">
        <v>57</v>
      </c>
      <c r="F81" s="33">
        <f>ROUND(D93,0)</f>
        <v>20</v>
      </c>
      <c r="G81" s="34" t="s">
        <v>35</v>
      </c>
      <c r="H81" s="39">
        <v>0.2</v>
      </c>
      <c r="I81" s="39">
        <f>blackout</f>
        <v>7.854166666666668</v>
      </c>
      <c r="J81" s="36">
        <f t="shared" si="6"/>
        <v>13.854166666666668</v>
      </c>
      <c r="K81" s="37">
        <f>+IF(F81="item",J81,IF(F81&lt;&gt;0,F81*J81,""))</f>
        <v>277.08333333333337</v>
      </c>
      <c r="L81" s="70"/>
      <c r="M81" s="33">
        <f>+F81</f>
        <v>20</v>
      </c>
      <c r="N81" s="34" t="s">
        <v>35</v>
      </c>
      <c r="O81" s="36">
        <f>blackout</f>
        <v>7.854166666666668</v>
      </c>
      <c r="P81" s="37">
        <f>+IF(M81="item",O81,IF(M81&lt;&gt;0,M81*O81,""))</f>
        <v>157.08333333333337</v>
      </c>
      <c r="Q81" s="97"/>
      <c r="S81" s="110" t="str">
        <f>+E81</f>
        <v>Heavy weight thermal linings to existing curtains</v>
      </c>
      <c r="T81" s="114">
        <f>+K81</f>
        <v>277.08333333333337</v>
      </c>
      <c r="U81" s="12"/>
      <c r="V81" s="12">
        <v>10</v>
      </c>
      <c r="W81" s="19">
        <f>ROUND(+IF(V81&gt;0,T81/V81,""),2)</f>
        <v>27.71</v>
      </c>
      <c r="X81" s="111"/>
    </row>
    <row r="82" spans="1:24" ht="12.75" hidden="1" outlineLevel="1">
      <c r="A82" s="60"/>
      <c r="B82" s="61">
        <v>1</v>
      </c>
      <c r="C82" s="64">
        <v>1.2</v>
      </c>
      <c r="D82" s="63"/>
      <c r="E82" s="38"/>
      <c r="F82" s="33"/>
      <c r="G82" s="34"/>
      <c r="H82" s="39"/>
      <c r="I82" s="39"/>
      <c r="J82" s="36"/>
      <c r="K82" s="37"/>
      <c r="L82" s="70"/>
      <c r="M82" s="33"/>
      <c r="N82" s="34"/>
      <c r="O82" s="36"/>
      <c r="P82" s="37"/>
      <c r="Q82" s="97"/>
      <c r="S82" s="110"/>
      <c r="T82" s="114"/>
      <c r="U82" s="12"/>
      <c r="V82" s="12"/>
      <c r="W82" s="19"/>
      <c r="X82" s="111"/>
    </row>
    <row r="83" spans="1:24" ht="12.75" hidden="1" outlineLevel="1">
      <c r="A83" s="60"/>
      <c r="B83" s="61"/>
      <c r="C83" s="135">
        <v>1.2</v>
      </c>
      <c r="D83" s="63">
        <f>+C83*C82*B82</f>
        <v>1.44</v>
      </c>
      <c r="E83" s="38"/>
      <c r="F83" s="33"/>
      <c r="G83" s="34"/>
      <c r="H83" s="39"/>
      <c r="I83" s="39"/>
      <c r="J83" s="36"/>
      <c r="K83" s="37"/>
      <c r="L83" s="70"/>
      <c r="M83" s="33"/>
      <c r="N83" s="34"/>
      <c r="O83" s="36"/>
      <c r="P83" s="37"/>
      <c r="Q83" s="97"/>
      <c r="S83" s="110"/>
      <c r="T83" s="114"/>
      <c r="U83" s="12"/>
      <c r="V83" s="12"/>
      <c r="W83" s="19"/>
      <c r="X83" s="111"/>
    </row>
    <row r="84" spans="1:24" ht="12.75" hidden="1" outlineLevel="1">
      <c r="A84" s="60"/>
      <c r="B84" s="61">
        <v>2</v>
      </c>
      <c r="C84" s="64">
        <v>2.3</v>
      </c>
      <c r="D84" s="63"/>
      <c r="E84" s="38"/>
      <c r="F84" s="33"/>
      <c r="G84" s="34"/>
      <c r="H84" s="39"/>
      <c r="I84" s="39"/>
      <c r="J84" s="36"/>
      <c r="K84" s="37"/>
      <c r="L84" s="70"/>
      <c r="M84" s="33"/>
      <c r="N84" s="34"/>
      <c r="O84" s="36"/>
      <c r="P84" s="37"/>
      <c r="Q84" s="97"/>
      <c r="S84" s="110"/>
      <c r="T84" s="114"/>
      <c r="U84" s="12"/>
      <c r="V84" s="12"/>
      <c r="W84" s="19"/>
      <c r="X84" s="111"/>
    </row>
    <row r="85" spans="1:24" ht="12.75" hidden="1" outlineLevel="1">
      <c r="A85" s="60"/>
      <c r="B85" s="61"/>
      <c r="C85" s="135">
        <v>1.2</v>
      </c>
      <c r="D85" s="63">
        <f>+C85*C84*B84</f>
        <v>5.52</v>
      </c>
      <c r="E85" s="38"/>
      <c r="F85" s="33"/>
      <c r="G85" s="34"/>
      <c r="H85" s="39"/>
      <c r="I85" s="39"/>
      <c r="J85" s="36"/>
      <c r="K85" s="37"/>
      <c r="L85" s="70"/>
      <c r="M85" s="33"/>
      <c r="N85" s="34"/>
      <c r="O85" s="36"/>
      <c r="P85" s="37"/>
      <c r="Q85" s="97"/>
      <c r="S85" s="110"/>
      <c r="T85" s="114"/>
      <c r="U85" s="12"/>
      <c r="V85" s="12"/>
      <c r="W85" s="19"/>
      <c r="X85" s="111"/>
    </row>
    <row r="86" spans="1:24" ht="12.75" hidden="1" outlineLevel="1">
      <c r="A86" s="60"/>
      <c r="B86" s="61"/>
      <c r="C86" s="64">
        <v>1.2</v>
      </c>
      <c r="D86" s="63"/>
      <c r="E86" s="38"/>
      <c r="F86" s="33"/>
      <c r="G86" s="34"/>
      <c r="H86" s="39"/>
      <c r="I86" s="39"/>
      <c r="J86" s="36"/>
      <c r="K86" s="37"/>
      <c r="L86" s="70"/>
      <c r="M86" s="33"/>
      <c r="N86" s="34"/>
      <c r="O86" s="36"/>
      <c r="P86" s="37"/>
      <c r="Q86" s="97"/>
      <c r="S86" s="110"/>
      <c r="T86" s="114"/>
      <c r="U86" s="12"/>
      <c r="V86" s="12"/>
      <c r="W86" s="19"/>
      <c r="X86" s="111"/>
    </row>
    <row r="87" spans="1:24" ht="12.75" hidden="1" outlineLevel="1">
      <c r="A87" s="60"/>
      <c r="B87" s="61"/>
      <c r="C87" s="135">
        <v>2.3</v>
      </c>
      <c r="D87" s="63">
        <f>+C87*C86</f>
        <v>2.76</v>
      </c>
      <c r="E87" s="38"/>
      <c r="F87" s="33"/>
      <c r="G87" s="34"/>
      <c r="H87" s="39"/>
      <c r="I87" s="39"/>
      <c r="J87" s="36"/>
      <c r="K87" s="37"/>
      <c r="L87" s="70"/>
      <c r="M87" s="33"/>
      <c r="N87" s="34"/>
      <c r="O87" s="36"/>
      <c r="P87" s="37"/>
      <c r="Q87" s="97"/>
      <c r="S87" s="110"/>
      <c r="T87" s="114"/>
      <c r="U87" s="12"/>
      <c r="V87" s="12"/>
      <c r="W87" s="19"/>
      <c r="X87" s="111"/>
    </row>
    <row r="88" spans="1:24" ht="12.75" hidden="1" outlineLevel="1">
      <c r="A88" s="60"/>
      <c r="B88" s="61">
        <v>3</v>
      </c>
      <c r="C88" s="64">
        <v>1.2</v>
      </c>
      <c r="D88" s="63"/>
      <c r="E88" s="38"/>
      <c r="F88" s="33"/>
      <c r="G88" s="34"/>
      <c r="H88" s="39"/>
      <c r="I88" s="39"/>
      <c r="J88" s="36"/>
      <c r="K88" s="37"/>
      <c r="L88" s="70"/>
      <c r="M88" s="33"/>
      <c r="N88" s="34"/>
      <c r="O88" s="36"/>
      <c r="P88" s="37"/>
      <c r="Q88" s="97"/>
      <c r="S88" s="110"/>
      <c r="T88" s="114"/>
      <c r="U88" s="12"/>
      <c r="V88" s="12"/>
      <c r="W88" s="19"/>
      <c r="X88" s="111"/>
    </row>
    <row r="89" spans="1:24" ht="12.75" hidden="1" outlineLevel="1">
      <c r="A89" s="60"/>
      <c r="B89" s="61"/>
      <c r="C89" s="135">
        <v>1.2</v>
      </c>
      <c r="D89" s="63">
        <f>+C89*C88*B88</f>
        <v>4.32</v>
      </c>
      <c r="E89" s="38"/>
      <c r="F89" s="33"/>
      <c r="G89" s="34"/>
      <c r="H89" s="39"/>
      <c r="I89" s="39"/>
      <c r="J89" s="36"/>
      <c r="K89" s="37"/>
      <c r="L89" s="70"/>
      <c r="M89" s="33"/>
      <c r="N89" s="34"/>
      <c r="O89" s="36"/>
      <c r="P89" s="37"/>
      <c r="Q89" s="97"/>
      <c r="S89" s="110"/>
      <c r="T89" s="114"/>
      <c r="U89" s="12"/>
      <c r="V89" s="12"/>
      <c r="W89" s="19"/>
      <c r="X89" s="111"/>
    </row>
    <row r="90" spans="1:24" ht="12.75" hidden="1" outlineLevel="1">
      <c r="A90" s="60"/>
      <c r="B90" s="61">
        <v>2</v>
      </c>
      <c r="C90" s="64">
        <v>2.4</v>
      </c>
      <c r="D90" s="63"/>
      <c r="E90" s="38"/>
      <c r="F90" s="33"/>
      <c r="G90" s="34"/>
      <c r="H90" s="39"/>
      <c r="I90" s="39"/>
      <c r="J90" s="36"/>
      <c r="K90" s="37"/>
      <c r="L90" s="70"/>
      <c r="M90" s="33"/>
      <c r="N90" s="34"/>
      <c r="O90" s="36"/>
      <c r="P90" s="37"/>
      <c r="Q90" s="97"/>
      <c r="S90" s="110"/>
      <c r="T90" s="114"/>
      <c r="U90" s="12"/>
      <c r="V90" s="12"/>
      <c r="W90" s="19"/>
      <c r="X90" s="111"/>
    </row>
    <row r="91" spans="1:24" ht="12.75" hidden="1" outlineLevel="1">
      <c r="A91" s="60"/>
      <c r="B91" s="61"/>
      <c r="C91" s="135">
        <v>1.2</v>
      </c>
      <c r="D91" s="63">
        <f>+C91*C90*B90</f>
        <v>5.76</v>
      </c>
      <c r="E91" s="38"/>
      <c r="F91" s="33"/>
      <c r="G91" s="34"/>
      <c r="H91" s="39"/>
      <c r="I91" s="39"/>
      <c r="J91" s="36"/>
      <c r="K91" s="37"/>
      <c r="L91" s="70"/>
      <c r="M91" s="33"/>
      <c r="N91" s="34"/>
      <c r="O91" s="36"/>
      <c r="P91" s="37"/>
      <c r="Q91" s="97"/>
      <c r="S91" s="110"/>
      <c r="T91" s="114"/>
      <c r="U91" s="12"/>
      <c r="V91" s="12"/>
      <c r="W91" s="19"/>
      <c r="X91" s="111"/>
    </row>
    <row r="92" spans="1:24" ht="12.75" hidden="1" outlineLevel="1">
      <c r="A92" s="60"/>
      <c r="B92" s="61"/>
      <c r="C92" s="64"/>
      <c r="D92" s="63"/>
      <c r="E92" s="38"/>
      <c r="F92" s="33"/>
      <c r="G92" s="34"/>
      <c r="H92" s="39"/>
      <c r="I92" s="39"/>
      <c r="J92" s="36"/>
      <c r="K92" s="37"/>
      <c r="L92" s="70"/>
      <c r="M92" s="33"/>
      <c r="N92" s="34"/>
      <c r="O92" s="36"/>
      <c r="P92" s="37"/>
      <c r="Q92" s="97"/>
      <c r="S92" s="110"/>
      <c r="T92" s="114"/>
      <c r="U92" s="12"/>
      <c r="V92" s="12"/>
      <c r="W92" s="19"/>
      <c r="X92" s="111"/>
    </row>
    <row r="93" spans="1:24" ht="12.75" hidden="1" outlineLevel="1">
      <c r="A93" s="60"/>
      <c r="B93" s="61"/>
      <c r="C93" s="64"/>
      <c r="D93" s="65">
        <f>SUM(D81:D92)</f>
        <v>19.799999999999997</v>
      </c>
      <c r="E93" s="38"/>
      <c r="F93" s="33"/>
      <c r="G93" s="34"/>
      <c r="H93" s="39"/>
      <c r="I93" s="39"/>
      <c r="J93" s="36"/>
      <c r="K93" s="37"/>
      <c r="L93" s="70"/>
      <c r="M93" s="33"/>
      <c r="N93" s="34"/>
      <c r="O93" s="36"/>
      <c r="P93" s="37"/>
      <c r="Q93" s="97"/>
      <c r="S93" s="110"/>
      <c r="T93" s="114"/>
      <c r="U93" s="12"/>
      <c r="V93" s="12"/>
      <c r="W93" s="19"/>
      <c r="X93" s="111"/>
    </row>
    <row r="94" spans="1:24" ht="12.75" hidden="1" outlineLevel="1">
      <c r="A94" s="60"/>
      <c r="B94" s="61"/>
      <c r="C94" s="64"/>
      <c r="D94" s="65"/>
      <c r="E94" s="38"/>
      <c r="F94" s="33"/>
      <c r="G94" s="34"/>
      <c r="H94" s="39"/>
      <c r="I94" s="39"/>
      <c r="J94" s="36"/>
      <c r="K94" s="37"/>
      <c r="L94" s="70"/>
      <c r="M94" s="33"/>
      <c r="N94" s="34"/>
      <c r="O94" s="36"/>
      <c r="P94" s="37"/>
      <c r="Q94" s="97"/>
      <c r="S94" s="110"/>
      <c r="T94" s="114"/>
      <c r="U94" s="12"/>
      <c r="V94" s="12"/>
      <c r="W94" s="19"/>
      <c r="X94" s="111"/>
    </row>
    <row r="95" spans="1:24" ht="12.75" hidden="1" outlineLevel="1">
      <c r="A95" s="60"/>
      <c r="B95" s="61"/>
      <c r="C95" s="64"/>
      <c r="D95" s="65"/>
      <c r="E95" s="38" t="s">
        <v>362</v>
      </c>
      <c r="F95" s="33">
        <v>10</v>
      </c>
      <c r="G95" s="34" t="s">
        <v>363</v>
      </c>
      <c r="H95" s="39"/>
      <c r="I95" s="39"/>
      <c r="J95" s="36">
        <f>SUM(K81:K94)</f>
        <v>277.08333333333337</v>
      </c>
      <c r="K95" s="37">
        <f>+J95*F95%</f>
        <v>27.70833333333334</v>
      </c>
      <c r="L95" s="70"/>
      <c r="M95" s="33"/>
      <c r="N95" s="34"/>
      <c r="O95" s="36"/>
      <c r="P95" s="37"/>
      <c r="Q95" s="97"/>
      <c r="S95" s="110"/>
      <c r="T95" s="114"/>
      <c r="U95" s="12"/>
      <c r="V95" s="12"/>
      <c r="W95" s="19"/>
      <c r="X95" s="111"/>
    </row>
    <row r="96" spans="1:24" ht="12.75" hidden="1" outlineLevel="1">
      <c r="A96" s="60"/>
      <c r="B96" s="61"/>
      <c r="C96" s="64"/>
      <c r="D96" s="63"/>
      <c r="E96" s="38"/>
      <c r="F96" s="33"/>
      <c r="G96" s="34"/>
      <c r="H96" s="39"/>
      <c r="I96" s="39"/>
      <c r="J96" s="36"/>
      <c r="K96" s="37"/>
      <c r="L96" s="70"/>
      <c r="M96" s="33"/>
      <c r="N96" s="34"/>
      <c r="O96" s="36"/>
      <c r="P96" s="37"/>
      <c r="Q96" s="97"/>
      <c r="S96" s="110"/>
      <c r="T96" s="114"/>
      <c r="U96" s="12"/>
      <c r="V96" s="12"/>
      <c r="W96" s="19"/>
      <c r="X96" s="111"/>
    </row>
    <row r="97" spans="1:24" ht="12.75" collapsed="1">
      <c r="A97" s="60"/>
      <c r="B97" s="61"/>
      <c r="C97" s="64"/>
      <c r="D97" s="63"/>
      <c r="E97" s="38"/>
      <c r="F97" s="33"/>
      <c r="G97" s="34"/>
      <c r="H97" s="39"/>
      <c r="I97" s="39"/>
      <c r="J97" s="36">
        <f>IF(+I97+H97&gt;0,I97+(H97*labour),"")</f>
      </c>
      <c r="K97" s="37">
        <f>+IF(F97="item",J97,IF(F97&lt;&gt;0,F97*J97,""))</f>
      </c>
      <c r="L97" s="31"/>
      <c r="M97" s="33"/>
      <c r="N97" s="34"/>
      <c r="O97" s="36"/>
      <c r="P97" s="37">
        <f>+IF(M97="item",O97,IF(M97&lt;&gt;0,M97*O97,""))</f>
      </c>
      <c r="Q97" s="54"/>
      <c r="S97" s="110"/>
      <c r="T97" s="12"/>
      <c r="U97" s="12"/>
      <c r="V97" s="12"/>
      <c r="W97" s="19"/>
      <c r="X97" s="111"/>
    </row>
    <row r="98" spans="1:24" ht="12.75">
      <c r="A98" s="60"/>
      <c r="B98" s="61"/>
      <c r="C98" s="64"/>
      <c r="D98" s="63"/>
      <c r="E98" s="38"/>
      <c r="F98" s="33"/>
      <c r="G98" s="34"/>
      <c r="H98" s="39"/>
      <c r="I98" s="39"/>
      <c r="J98" s="36">
        <f>IF(+I98+H98&gt;0,I98+(H98*labour),"")</f>
      </c>
      <c r="K98" s="37">
        <f>+IF(F98="item",J98,IF(F98&lt;&gt;0,F98*J98,""))</f>
      </c>
      <c r="L98" s="31"/>
      <c r="M98" s="33"/>
      <c r="N98" s="34"/>
      <c r="O98" s="36"/>
      <c r="P98" s="37">
        <f>+IF(M98="item",O98,IF(M98&lt;&gt;0,M98*O98,""))</f>
      </c>
      <c r="Q98" s="54"/>
      <c r="S98" s="110"/>
      <c r="T98" s="12"/>
      <c r="U98" s="12"/>
      <c r="V98" s="12"/>
      <c r="W98" s="19"/>
      <c r="X98" s="111"/>
    </row>
    <row r="99" spans="1:24" ht="25.5">
      <c r="A99" s="60"/>
      <c r="B99" s="61"/>
      <c r="C99" s="64"/>
      <c r="D99" s="63"/>
      <c r="E99" s="32" t="s">
        <v>89</v>
      </c>
      <c r="F99" s="33"/>
      <c r="G99" s="34"/>
      <c r="H99" s="39"/>
      <c r="I99" s="39"/>
      <c r="J99" s="36">
        <f>IF(+I99+H99&gt;0,I99+(H99*labour),"")</f>
      </c>
      <c r="K99" s="53">
        <f>SUM(K100:K126)</f>
        <v>516.9911999999999</v>
      </c>
      <c r="L99" s="31" t="s">
        <v>64</v>
      </c>
      <c r="M99" s="72"/>
      <c r="N99" s="73"/>
      <c r="O99" s="74"/>
      <c r="P99" s="75">
        <f>+IF(M99="item",O99,IF(M99&lt;&gt;0,M99*O99,""))</f>
      </c>
      <c r="Q99" s="76"/>
      <c r="S99" s="113" t="s">
        <v>257</v>
      </c>
      <c r="T99" s="12"/>
      <c r="U99" s="12"/>
      <c r="V99" s="12"/>
      <c r="W99" s="112">
        <f>SUM(W101:W127)</f>
        <v>31.330000000000002</v>
      </c>
      <c r="X99" s="111"/>
    </row>
    <row r="100" spans="1:24" ht="12.75" hidden="1" outlineLevel="1">
      <c r="A100" s="60"/>
      <c r="B100" s="61"/>
      <c r="C100" s="64"/>
      <c r="D100" s="65"/>
      <c r="E100" s="38"/>
      <c r="F100" s="33"/>
      <c r="G100" s="34"/>
      <c r="H100" s="39"/>
      <c r="I100" s="39"/>
      <c r="J100" s="36">
        <f>IF(+I100+H100&gt;0,I100+(H100*labour),"")</f>
      </c>
      <c r="K100" s="37">
        <f>+IF(F100="item",J100,IF(F100&lt;&gt;0,F100*J100,""))</f>
      </c>
      <c r="L100" s="31"/>
      <c r="M100" s="72"/>
      <c r="N100" s="73"/>
      <c r="O100" s="74"/>
      <c r="P100" s="75">
        <f>+IF(M100="item",O100,IF(M100&lt;&gt;0,M100*O100,""))</f>
      </c>
      <c r="Q100" s="76"/>
      <c r="S100" s="110"/>
      <c r="T100" s="12"/>
      <c r="U100" s="12"/>
      <c r="V100" s="12"/>
      <c r="W100" s="19"/>
      <c r="X100" s="111"/>
    </row>
    <row r="101" spans="1:24" ht="12.75" hidden="1" outlineLevel="1">
      <c r="A101" s="60"/>
      <c r="B101" s="61"/>
      <c r="C101" s="64"/>
      <c r="D101" s="63"/>
      <c r="E101" s="38" t="s">
        <v>60</v>
      </c>
      <c r="F101" s="33">
        <f>ROUND(D107,0)</f>
        <v>44</v>
      </c>
      <c r="G101" s="34" t="s">
        <v>35</v>
      </c>
      <c r="H101" s="39">
        <v>0.2</v>
      </c>
      <c r="I101" s="39"/>
      <c r="J101" s="36">
        <f>IF(+I101+H101&gt;0,I101+(H101*labour),"")</f>
        <v>6</v>
      </c>
      <c r="K101" s="37">
        <f>+IF(F101="item",J101,IF(F101&lt;&gt;0,F101*J101,""))</f>
        <v>264</v>
      </c>
      <c r="L101" s="31"/>
      <c r="M101" s="72"/>
      <c r="N101" s="73"/>
      <c r="O101" s="74"/>
      <c r="P101" s="75">
        <f>+IF(M101="item",O101,IF(M101&lt;&gt;0,M101*O101,""))</f>
      </c>
      <c r="Q101" s="76"/>
      <c r="S101" s="110" t="str">
        <f>+E101</f>
        <v>Lifting/ relaying existing carpet</v>
      </c>
      <c r="T101" s="114">
        <f>+K101</f>
        <v>264</v>
      </c>
      <c r="U101" s="12"/>
      <c r="V101" s="12">
        <v>15</v>
      </c>
      <c r="W101" s="19">
        <f>ROUND(+IF(V101&gt;0,T101/V101,""),2)</f>
        <v>17.6</v>
      </c>
      <c r="X101" s="111"/>
    </row>
    <row r="102" spans="1:24" ht="12.75" hidden="1" outlineLevel="1">
      <c r="A102" s="60"/>
      <c r="B102" s="61"/>
      <c r="C102" s="64">
        <v>2.1</v>
      </c>
      <c r="D102" s="63"/>
      <c r="E102" s="38"/>
      <c r="F102" s="33"/>
      <c r="G102" s="34"/>
      <c r="H102" s="39"/>
      <c r="I102" s="39"/>
      <c r="J102" s="36"/>
      <c r="K102" s="37"/>
      <c r="L102" s="31"/>
      <c r="M102" s="72"/>
      <c r="N102" s="73"/>
      <c r="O102" s="74"/>
      <c r="P102" s="75"/>
      <c r="Q102" s="76"/>
      <c r="S102" s="110"/>
      <c r="T102" s="114"/>
      <c r="U102" s="12"/>
      <c r="V102" s="12"/>
      <c r="W102" s="19"/>
      <c r="X102" s="111"/>
    </row>
    <row r="103" spans="1:24" ht="12.75" hidden="1" outlineLevel="1">
      <c r="A103" s="60"/>
      <c r="B103" s="61"/>
      <c r="C103" s="135">
        <v>1.1</v>
      </c>
      <c r="D103" s="63">
        <f>+C103*C102</f>
        <v>2.3100000000000005</v>
      </c>
      <c r="E103" s="38"/>
      <c r="F103" s="33"/>
      <c r="G103" s="34"/>
      <c r="H103" s="39"/>
      <c r="I103" s="39"/>
      <c r="J103" s="36"/>
      <c r="K103" s="37"/>
      <c r="L103" s="31"/>
      <c r="M103" s="72"/>
      <c r="N103" s="73"/>
      <c r="O103" s="74"/>
      <c r="P103" s="75"/>
      <c r="Q103" s="76"/>
      <c r="S103" s="110"/>
      <c r="T103" s="114"/>
      <c r="U103" s="12"/>
      <c r="V103" s="12"/>
      <c r="W103" s="19"/>
      <c r="X103" s="111"/>
    </row>
    <row r="104" spans="1:24" ht="12.75" hidden="1" outlineLevel="1">
      <c r="A104" s="60"/>
      <c r="B104" s="61">
        <v>1</v>
      </c>
      <c r="C104" s="64">
        <v>7.2</v>
      </c>
      <c r="D104" s="63"/>
      <c r="E104" s="38"/>
      <c r="F104" s="33"/>
      <c r="G104" s="34"/>
      <c r="H104" s="39"/>
      <c r="I104" s="39"/>
      <c r="J104" s="36"/>
      <c r="K104" s="37"/>
      <c r="L104" s="31"/>
      <c r="M104" s="72"/>
      <c r="N104" s="73"/>
      <c r="O104" s="74"/>
      <c r="P104" s="75"/>
      <c r="Q104" s="76"/>
      <c r="S104" s="110"/>
      <c r="T104" s="114"/>
      <c r="U104" s="12"/>
      <c r="V104" s="12"/>
      <c r="W104" s="19"/>
      <c r="X104" s="111"/>
    </row>
    <row r="105" spans="1:24" ht="12.75" hidden="1" outlineLevel="1">
      <c r="A105" s="60"/>
      <c r="B105" s="61"/>
      <c r="C105" s="135">
        <v>5.8</v>
      </c>
      <c r="D105" s="63">
        <f>+C105*C104*B104</f>
        <v>41.76</v>
      </c>
      <c r="E105" s="38"/>
      <c r="F105" s="33"/>
      <c r="G105" s="34"/>
      <c r="H105" s="39"/>
      <c r="I105" s="39"/>
      <c r="J105" s="36"/>
      <c r="K105" s="37"/>
      <c r="L105" s="31"/>
      <c r="M105" s="72"/>
      <c r="N105" s="73"/>
      <c r="O105" s="74"/>
      <c r="P105" s="75"/>
      <c r="Q105" s="76"/>
      <c r="S105" s="110"/>
      <c r="T105" s="114"/>
      <c r="U105" s="12"/>
      <c r="V105" s="12"/>
      <c r="W105" s="19"/>
      <c r="X105" s="111"/>
    </row>
    <row r="106" spans="1:24" ht="12.75" hidden="1" outlineLevel="1">
      <c r="A106" s="60"/>
      <c r="B106" s="61"/>
      <c r="C106" s="64"/>
      <c r="D106" s="63"/>
      <c r="E106" s="38"/>
      <c r="F106" s="33"/>
      <c r="G106" s="34"/>
      <c r="H106" s="39"/>
      <c r="I106" s="39"/>
      <c r="J106" s="36"/>
      <c r="K106" s="37"/>
      <c r="L106" s="31"/>
      <c r="M106" s="72"/>
      <c r="N106" s="73"/>
      <c r="O106" s="74"/>
      <c r="P106" s="75"/>
      <c r="Q106" s="76"/>
      <c r="S106" s="110"/>
      <c r="T106" s="114"/>
      <c r="U106" s="12"/>
      <c r="V106" s="12"/>
      <c r="W106" s="19"/>
      <c r="X106" s="111"/>
    </row>
    <row r="107" spans="1:24" ht="12.75" hidden="1" outlineLevel="1">
      <c r="A107" s="60"/>
      <c r="B107" s="61"/>
      <c r="C107" s="64"/>
      <c r="D107" s="65">
        <f>SUM(D102:D105)</f>
        <v>44.07</v>
      </c>
      <c r="E107" s="38"/>
      <c r="F107" s="33"/>
      <c r="G107" s="34"/>
      <c r="H107" s="39"/>
      <c r="I107" s="39"/>
      <c r="J107" s="36"/>
      <c r="K107" s="37"/>
      <c r="L107" s="31"/>
      <c r="M107" s="72"/>
      <c r="N107" s="73"/>
      <c r="O107" s="74"/>
      <c r="P107" s="75"/>
      <c r="Q107" s="76"/>
      <c r="S107" s="110"/>
      <c r="T107" s="114"/>
      <c r="U107" s="12"/>
      <c r="V107" s="12"/>
      <c r="W107" s="19"/>
      <c r="X107" s="111"/>
    </row>
    <row r="108" spans="1:24" ht="12.75" hidden="1" outlineLevel="1">
      <c r="A108" s="60"/>
      <c r="B108" s="61"/>
      <c r="C108" s="64"/>
      <c r="D108" s="63"/>
      <c r="E108" s="38"/>
      <c r="F108" s="33"/>
      <c r="G108" s="34"/>
      <c r="H108" s="39"/>
      <c r="I108" s="39"/>
      <c r="J108" s="36"/>
      <c r="K108" s="37"/>
      <c r="L108" s="31"/>
      <c r="M108" s="72"/>
      <c r="N108" s="73"/>
      <c r="O108" s="74"/>
      <c r="P108" s="75"/>
      <c r="Q108" s="76"/>
      <c r="S108" s="110"/>
      <c r="T108" s="114"/>
      <c r="U108" s="12"/>
      <c r="V108" s="12"/>
      <c r="W108" s="19"/>
      <c r="X108" s="111"/>
    </row>
    <row r="109" spans="1:24" ht="12.75" hidden="1" outlineLevel="1">
      <c r="A109" s="60"/>
      <c r="B109" s="61"/>
      <c r="C109" s="64"/>
      <c r="D109" s="63"/>
      <c r="E109" s="38" t="s">
        <v>132</v>
      </c>
      <c r="F109" s="33">
        <f>ROUND(D122,0)</f>
        <v>54</v>
      </c>
      <c r="G109" s="34" t="s">
        <v>108</v>
      </c>
      <c r="H109" s="39"/>
      <c r="I109" s="39">
        <v>0.5</v>
      </c>
      <c r="J109" s="36">
        <f>IF(+I109+H109&gt;0,I109+(H109*labour),"")</f>
        <v>0.5</v>
      </c>
      <c r="K109" s="37">
        <f>+IF(F109="item",J109,IF(F109&lt;&gt;0,F109*J109,""))</f>
        <v>27</v>
      </c>
      <c r="L109" s="31"/>
      <c r="M109" s="72"/>
      <c r="N109" s="73"/>
      <c r="O109" s="74"/>
      <c r="P109" s="75"/>
      <c r="Q109" s="76"/>
      <c r="S109" s="110" t="str">
        <f>+E109</f>
        <v>Grippers</v>
      </c>
      <c r="T109" s="114">
        <f>+K109</f>
        <v>27</v>
      </c>
      <c r="U109" s="12"/>
      <c r="V109" s="12">
        <v>15</v>
      </c>
      <c r="W109" s="19">
        <f>ROUND(+IF(V109&gt;0,T109/V109,""),2)</f>
        <v>1.8</v>
      </c>
      <c r="X109" s="111"/>
    </row>
    <row r="110" spans="1:24" ht="12.75" hidden="1" outlineLevel="1">
      <c r="A110" s="60"/>
      <c r="B110" s="61">
        <v>4</v>
      </c>
      <c r="C110" s="135">
        <v>5.8</v>
      </c>
      <c r="D110" s="63">
        <f aca="true" t="shared" si="7" ref="D110:D118">+C110*B110</f>
        <v>23.2</v>
      </c>
      <c r="E110" s="38"/>
      <c r="F110" s="33"/>
      <c r="G110" s="34"/>
      <c r="H110" s="39"/>
      <c r="I110" s="39"/>
      <c r="J110" s="36"/>
      <c r="K110" s="37"/>
      <c r="L110" s="31"/>
      <c r="M110" s="72"/>
      <c r="N110" s="73"/>
      <c r="O110" s="74"/>
      <c r="P110" s="75"/>
      <c r="Q110" s="76"/>
      <c r="S110" s="110"/>
      <c r="T110" s="114"/>
      <c r="U110" s="12"/>
      <c r="V110" s="12"/>
      <c r="W110" s="19"/>
      <c r="X110" s="111"/>
    </row>
    <row r="111" spans="1:24" ht="12.75" hidden="1" outlineLevel="1">
      <c r="A111" s="60"/>
      <c r="B111" s="61">
        <v>2</v>
      </c>
      <c r="C111" s="156">
        <v>7.2</v>
      </c>
      <c r="D111" s="63">
        <f t="shared" si="7"/>
        <v>14.4</v>
      </c>
      <c r="E111" s="38"/>
      <c r="F111" s="33"/>
      <c r="G111" s="34"/>
      <c r="H111" s="39"/>
      <c r="I111" s="39"/>
      <c r="J111" s="36"/>
      <c r="K111" s="37"/>
      <c r="L111" s="31"/>
      <c r="M111" s="72"/>
      <c r="N111" s="73"/>
      <c r="O111" s="74"/>
      <c r="P111" s="75"/>
      <c r="Q111" s="76"/>
      <c r="S111" s="110"/>
      <c r="T111" s="114"/>
      <c r="U111" s="12"/>
      <c r="V111" s="12"/>
      <c r="W111" s="19"/>
      <c r="X111" s="111"/>
    </row>
    <row r="112" spans="1:24" ht="12.75" hidden="1" outlineLevel="1">
      <c r="A112" s="60"/>
      <c r="B112" s="61">
        <v>2</v>
      </c>
      <c r="C112" s="156">
        <v>2.1</v>
      </c>
      <c r="D112" s="63">
        <f t="shared" si="7"/>
        <v>4.2</v>
      </c>
      <c r="E112" s="38"/>
      <c r="F112" s="33"/>
      <c r="G112" s="34"/>
      <c r="H112" s="39"/>
      <c r="I112" s="39"/>
      <c r="J112" s="36"/>
      <c r="K112" s="37"/>
      <c r="L112" s="31"/>
      <c r="M112" s="72"/>
      <c r="N112" s="73"/>
      <c r="O112" s="74"/>
      <c r="P112" s="75"/>
      <c r="Q112" s="76"/>
      <c r="S112" s="110"/>
      <c r="T112" s="114"/>
      <c r="U112" s="12"/>
      <c r="V112" s="12"/>
      <c r="W112" s="19"/>
      <c r="X112" s="111"/>
    </row>
    <row r="113" spans="1:24" ht="12.75" hidden="1" outlineLevel="1">
      <c r="A113" s="60"/>
      <c r="B113" s="61">
        <v>2</v>
      </c>
      <c r="C113" s="156">
        <v>1.1</v>
      </c>
      <c r="D113" s="63">
        <f t="shared" si="7"/>
        <v>2.2</v>
      </c>
      <c r="E113" s="38"/>
      <c r="F113" s="33"/>
      <c r="G113" s="34"/>
      <c r="H113" s="39"/>
      <c r="I113" s="39"/>
      <c r="J113" s="36"/>
      <c r="K113" s="37"/>
      <c r="L113" s="31"/>
      <c r="M113" s="72"/>
      <c r="N113" s="73"/>
      <c r="O113" s="74"/>
      <c r="P113" s="75"/>
      <c r="Q113" s="76"/>
      <c r="S113" s="110"/>
      <c r="T113" s="114"/>
      <c r="U113" s="12"/>
      <c r="V113" s="12"/>
      <c r="W113" s="19"/>
      <c r="X113" s="111"/>
    </row>
    <row r="114" spans="1:24" ht="12.75" hidden="1" outlineLevel="1">
      <c r="A114" s="60"/>
      <c r="B114" s="61">
        <v>2</v>
      </c>
      <c r="C114" s="156">
        <v>3.8</v>
      </c>
      <c r="D114" s="63">
        <f>+C114*B114</f>
        <v>7.6</v>
      </c>
      <c r="E114" s="38"/>
      <c r="F114" s="33"/>
      <c r="G114" s="34"/>
      <c r="H114" s="39"/>
      <c r="I114" s="39"/>
      <c r="J114" s="36"/>
      <c r="K114" s="37"/>
      <c r="L114" s="31"/>
      <c r="M114" s="72"/>
      <c r="N114" s="73"/>
      <c r="O114" s="74"/>
      <c r="P114" s="75"/>
      <c r="Q114" s="76"/>
      <c r="S114" s="110"/>
      <c r="T114" s="114"/>
      <c r="U114" s="12"/>
      <c r="V114" s="12"/>
      <c r="W114" s="19"/>
      <c r="X114" s="111"/>
    </row>
    <row r="115" spans="1:24" ht="12.75" hidden="1" outlineLevel="1">
      <c r="A115" s="60"/>
      <c r="B115" s="61">
        <v>2</v>
      </c>
      <c r="C115" s="156">
        <v>1.4</v>
      </c>
      <c r="D115" s="63">
        <f t="shared" si="7"/>
        <v>2.8</v>
      </c>
      <c r="E115" s="38"/>
      <c r="F115" s="33"/>
      <c r="G115" s="34"/>
      <c r="H115" s="39"/>
      <c r="I115" s="39"/>
      <c r="J115" s="36"/>
      <c r="K115" s="37"/>
      <c r="L115" s="31"/>
      <c r="M115" s="72"/>
      <c r="N115" s="73"/>
      <c r="O115" s="74"/>
      <c r="P115" s="75"/>
      <c r="Q115" s="76"/>
      <c r="S115" s="110"/>
      <c r="T115" s="114"/>
      <c r="U115" s="12"/>
      <c r="V115" s="12"/>
      <c r="W115" s="19"/>
      <c r="X115" s="111"/>
    </row>
    <row r="116" spans="1:24" ht="12.75" hidden="1" outlineLevel="1">
      <c r="A116" s="60">
        <v>2</v>
      </c>
      <c r="B116" s="61">
        <v>2</v>
      </c>
      <c r="C116" s="156">
        <v>0.9</v>
      </c>
      <c r="D116" s="63">
        <f>+C116*B116*A116</f>
        <v>3.6</v>
      </c>
      <c r="E116" s="38"/>
      <c r="F116" s="33"/>
      <c r="G116" s="34"/>
      <c r="H116" s="39"/>
      <c r="I116" s="39"/>
      <c r="J116" s="36"/>
      <c r="K116" s="37"/>
      <c r="L116" s="31"/>
      <c r="M116" s="72"/>
      <c r="N116" s="73"/>
      <c r="O116" s="74"/>
      <c r="P116" s="75"/>
      <c r="Q116" s="76"/>
      <c r="S116" s="110"/>
      <c r="T116" s="114"/>
      <c r="U116" s="12"/>
      <c r="V116" s="12"/>
      <c r="W116" s="19"/>
      <c r="X116" s="111"/>
    </row>
    <row r="117" spans="1:24" ht="12.75" hidden="1" outlineLevel="1">
      <c r="A117" s="60"/>
      <c r="B117" s="61">
        <v>2</v>
      </c>
      <c r="C117" s="156">
        <v>2.4</v>
      </c>
      <c r="D117" s="63">
        <f t="shared" si="7"/>
        <v>4.8</v>
      </c>
      <c r="E117" s="38"/>
      <c r="F117" s="33"/>
      <c r="G117" s="34"/>
      <c r="H117" s="39"/>
      <c r="I117" s="39"/>
      <c r="J117" s="36"/>
      <c r="K117" s="37"/>
      <c r="L117" s="31"/>
      <c r="M117" s="72"/>
      <c r="N117" s="73"/>
      <c r="O117" s="74"/>
      <c r="P117" s="75"/>
      <c r="Q117" s="76"/>
      <c r="S117" s="110"/>
      <c r="T117" s="114"/>
      <c r="U117" s="12"/>
      <c r="V117" s="12"/>
      <c r="W117" s="19"/>
      <c r="X117" s="111"/>
    </row>
    <row r="118" spans="1:24" ht="12.75" hidden="1" outlineLevel="1">
      <c r="A118" s="60"/>
      <c r="B118" s="61">
        <v>2</v>
      </c>
      <c r="C118" s="156">
        <v>1.7</v>
      </c>
      <c r="D118" s="63">
        <f t="shared" si="7"/>
        <v>3.4</v>
      </c>
      <c r="E118" s="38"/>
      <c r="F118" s="33"/>
      <c r="G118" s="34"/>
      <c r="H118" s="39"/>
      <c r="I118" s="39"/>
      <c r="J118" s="36"/>
      <c r="K118" s="37"/>
      <c r="L118" s="31"/>
      <c r="M118" s="72"/>
      <c r="N118" s="73"/>
      <c r="O118" s="74"/>
      <c r="P118" s="75"/>
      <c r="Q118" s="76"/>
      <c r="S118" s="110"/>
      <c r="T118" s="114"/>
      <c r="U118" s="12"/>
      <c r="V118" s="12"/>
      <c r="W118" s="19"/>
      <c r="X118" s="111"/>
    </row>
    <row r="119" spans="1:24" ht="12.75" hidden="1" outlineLevel="1">
      <c r="A119" s="60"/>
      <c r="B119" s="61"/>
      <c r="C119" s="156">
        <v>0.6</v>
      </c>
      <c r="D119" s="63">
        <f>+C119*B119</f>
        <v>0</v>
      </c>
      <c r="E119" s="38"/>
      <c r="F119" s="33"/>
      <c r="G119" s="34"/>
      <c r="H119" s="39"/>
      <c r="I119" s="39"/>
      <c r="J119" s="36"/>
      <c r="K119" s="37"/>
      <c r="L119" s="31"/>
      <c r="M119" s="72"/>
      <c r="N119" s="73"/>
      <c r="O119" s="74"/>
      <c r="P119" s="75"/>
      <c r="Q119" s="76"/>
      <c r="S119" s="110"/>
      <c r="T119" s="114"/>
      <c r="U119" s="12"/>
      <c r="V119" s="12"/>
      <c r="W119" s="19"/>
      <c r="X119" s="111"/>
    </row>
    <row r="120" spans="1:24" ht="12.75" hidden="1" outlineLevel="1">
      <c r="A120" s="60"/>
      <c r="B120" s="61"/>
      <c r="C120" s="64"/>
      <c r="D120" s="63"/>
      <c r="E120" s="38"/>
      <c r="F120" s="33"/>
      <c r="G120" s="34"/>
      <c r="H120" s="39"/>
      <c r="I120" s="39"/>
      <c r="J120" s="36"/>
      <c r="K120" s="37"/>
      <c r="L120" s="31"/>
      <c r="M120" s="72"/>
      <c r="N120" s="73"/>
      <c r="O120" s="74"/>
      <c r="P120" s="75"/>
      <c r="Q120" s="76"/>
      <c r="S120" s="110"/>
      <c r="T120" s="114"/>
      <c r="U120" s="12"/>
      <c r="V120" s="12"/>
      <c r="W120" s="19"/>
      <c r="X120" s="111"/>
    </row>
    <row r="121" spans="1:24" ht="12.75" hidden="1" outlineLevel="1">
      <c r="A121" s="60"/>
      <c r="B121" s="61"/>
      <c r="C121" s="64"/>
      <c r="D121" s="63"/>
      <c r="E121" s="38"/>
      <c r="F121" s="33"/>
      <c r="G121" s="34"/>
      <c r="H121" s="39"/>
      <c r="I121" s="39"/>
      <c r="J121" s="36"/>
      <c r="K121" s="37"/>
      <c r="L121" s="31"/>
      <c r="M121" s="72"/>
      <c r="N121" s="73"/>
      <c r="O121" s="74"/>
      <c r="P121" s="75"/>
      <c r="Q121" s="76"/>
      <c r="S121" s="110"/>
      <c r="T121" s="114"/>
      <c r="U121" s="12"/>
      <c r="V121" s="12"/>
      <c r="W121" s="19"/>
      <c r="X121" s="111"/>
    </row>
    <row r="122" spans="1:24" ht="12.75" hidden="1" outlineLevel="1">
      <c r="A122" s="60"/>
      <c r="B122" s="61"/>
      <c r="C122" s="64"/>
      <c r="D122" s="65">
        <f>SUM(D110:D115)</f>
        <v>54.400000000000006</v>
      </c>
      <c r="E122" s="38"/>
      <c r="F122" s="33"/>
      <c r="G122" s="34"/>
      <c r="H122" s="39"/>
      <c r="I122" s="39"/>
      <c r="J122" s="36"/>
      <c r="K122" s="37"/>
      <c r="L122" s="31"/>
      <c r="M122" s="72"/>
      <c r="N122" s="73"/>
      <c r="O122" s="74"/>
      <c r="P122" s="75"/>
      <c r="Q122" s="76"/>
      <c r="S122" s="110"/>
      <c r="T122" s="114"/>
      <c r="U122" s="12"/>
      <c r="V122" s="12"/>
      <c r="W122" s="19"/>
      <c r="X122" s="111"/>
    </row>
    <row r="123" spans="1:24" ht="12.75" hidden="1" outlineLevel="1">
      <c r="A123" s="60"/>
      <c r="B123" s="61"/>
      <c r="C123" s="64"/>
      <c r="D123" s="63"/>
      <c r="E123" s="38"/>
      <c r="F123" s="33"/>
      <c r="G123" s="34"/>
      <c r="H123" s="39"/>
      <c r="I123" s="39"/>
      <c r="J123" s="36">
        <f>IF(+I123+H123&gt;0,I123+(H123*labour),"")</f>
      </c>
      <c r="K123" s="37">
        <f>+IF(F123="item",J123,IF(F123&lt;&gt;0,F123*J123,""))</f>
      </c>
      <c r="L123" s="31"/>
      <c r="M123" s="72"/>
      <c r="N123" s="73"/>
      <c r="O123" s="74"/>
      <c r="P123" s="75">
        <f>+IF(M123="item",O123,IF(M123&lt;&gt;0,M123*O123,""))</f>
      </c>
      <c r="Q123" s="76"/>
      <c r="S123" s="110"/>
      <c r="T123" s="12"/>
      <c r="U123" s="12"/>
      <c r="V123" s="12"/>
      <c r="W123" s="19"/>
      <c r="X123" s="111"/>
    </row>
    <row r="124" spans="1:24" ht="12.75" hidden="1" outlineLevel="1">
      <c r="A124" s="60"/>
      <c r="B124" s="61"/>
      <c r="C124" s="64"/>
      <c r="D124" s="63"/>
      <c r="E124" s="38" t="s">
        <v>61</v>
      </c>
      <c r="F124" s="33">
        <f>+F101</f>
        <v>44</v>
      </c>
      <c r="G124" s="34" t="s">
        <v>35</v>
      </c>
      <c r="H124" s="39">
        <v>0.08</v>
      </c>
      <c r="I124" s="39">
        <f>+underlay</f>
        <v>1.6679999999999997</v>
      </c>
      <c r="J124" s="36">
        <f>IF(+I124+H124&gt;0,I124+(H124*labour),"")</f>
        <v>4.068</v>
      </c>
      <c r="K124" s="37">
        <f>+IF(F124="item",J124,IF(F124&lt;&gt;0,F124*J124,""))</f>
        <v>178.992</v>
      </c>
      <c r="L124" s="31"/>
      <c r="M124" s="72"/>
      <c r="N124" s="73"/>
      <c r="O124" s="74"/>
      <c r="P124" s="75">
        <f>+IF(M124="item",O124,IF(M124&lt;&gt;0,M124*O124,""))</f>
      </c>
      <c r="Q124" s="76"/>
      <c r="S124" s="110" t="str">
        <f>+E124</f>
        <v>Wool mix underlay</v>
      </c>
      <c r="T124" s="114">
        <f>+K124</f>
        <v>178.992</v>
      </c>
      <c r="U124" s="12"/>
      <c r="V124" s="12">
        <v>15</v>
      </c>
      <c r="W124" s="19">
        <f>ROUND(+IF(V124&gt;0,T124/V124,""),2)</f>
        <v>11.93</v>
      </c>
      <c r="X124" s="111"/>
    </row>
    <row r="125" spans="1:24" ht="12.75" hidden="1" outlineLevel="1">
      <c r="A125" s="60"/>
      <c r="B125" s="61"/>
      <c r="C125" s="64"/>
      <c r="D125" s="63"/>
      <c r="E125" s="38"/>
      <c r="F125" s="33"/>
      <c r="G125" s="34"/>
      <c r="H125" s="39"/>
      <c r="I125" s="39"/>
      <c r="J125" s="36"/>
      <c r="K125" s="37"/>
      <c r="L125" s="31"/>
      <c r="M125" s="72"/>
      <c r="N125" s="73"/>
      <c r="O125" s="74"/>
      <c r="P125" s="75"/>
      <c r="Q125" s="76"/>
      <c r="S125" s="110"/>
      <c r="T125" s="114"/>
      <c r="U125" s="12"/>
      <c r="V125" s="12"/>
      <c r="W125" s="19"/>
      <c r="X125" s="111"/>
    </row>
    <row r="126" spans="1:24" ht="12.75" hidden="1" outlineLevel="1">
      <c r="A126" s="60"/>
      <c r="B126" s="61"/>
      <c r="C126" s="64"/>
      <c r="D126" s="63"/>
      <c r="E126" s="38" t="s">
        <v>362</v>
      </c>
      <c r="F126" s="33">
        <v>10</v>
      </c>
      <c r="G126" s="34" t="s">
        <v>363</v>
      </c>
      <c r="H126" s="39"/>
      <c r="I126" s="39"/>
      <c r="J126" s="36">
        <f>SUM(K100:K125)</f>
        <v>469.99199999999996</v>
      </c>
      <c r="K126" s="37">
        <f>+J126*F126%</f>
        <v>46.9992</v>
      </c>
      <c r="L126" s="31"/>
      <c r="M126" s="72"/>
      <c r="N126" s="73"/>
      <c r="O126" s="74"/>
      <c r="P126" s="75"/>
      <c r="Q126" s="76"/>
      <c r="S126" s="110"/>
      <c r="T126" s="114"/>
      <c r="U126" s="12"/>
      <c r="V126" s="12"/>
      <c r="W126" s="19"/>
      <c r="X126" s="111"/>
    </row>
    <row r="127" spans="1:24" ht="12.75" hidden="1" outlineLevel="1">
      <c r="A127" s="60"/>
      <c r="B127" s="61"/>
      <c r="C127" s="64"/>
      <c r="D127" s="63"/>
      <c r="E127" s="38"/>
      <c r="F127" s="33"/>
      <c r="G127" s="34"/>
      <c r="H127" s="39"/>
      <c r="I127" s="39"/>
      <c r="J127" s="36">
        <f aca="true" t="shared" si="8" ref="J127:J136">IF(+I127+H127&gt;0,I127+(H127*labour),"")</f>
      </c>
      <c r="K127" s="37">
        <f>+IF(F127="item",J127,IF(F127&lt;&gt;0,F127*J127,""))</f>
      </c>
      <c r="L127" s="31"/>
      <c r="M127" s="72"/>
      <c r="N127" s="73"/>
      <c r="O127" s="74"/>
      <c r="P127" s="75">
        <f>+IF(M127="item",O127,IF(M127&lt;&gt;0,M127*O127,""))</f>
      </c>
      <c r="Q127" s="76"/>
      <c r="S127" s="110"/>
      <c r="T127" s="12"/>
      <c r="U127" s="12"/>
      <c r="V127" s="12"/>
      <c r="W127" s="19"/>
      <c r="X127" s="111"/>
    </row>
    <row r="128" spans="1:24" ht="12.75" collapsed="1">
      <c r="A128" s="60"/>
      <c r="B128" s="61"/>
      <c r="C128" s="64"/>
      <c r="D128" s="63"/>
      <c r="E128" s="38"/>
      <c r="F128" s="33"/>
      <c r="G128" s="34"/>
      <c r="H128" s="39"/>
      <c r="I128" s="39"/>
      <c r="J128" s="36">
        <f t="shared" si="8"/>
      </c>
      <c r="K128" s="37">
        <f>+IF(F128="item",J128,IF(F128&lt;&gt;0,F128*J128,""))</f>
      </c>
      <c r="L128" s="31"/>
      <c r="M128" s="33"/>
      <c r="N128" s="34"/>
      <c r="O128" s="36"/>
      <c r="P128" s="37">
        <f>+IF(M128="item",O128,IF(M128&lt;&gt;0,M128*O128,""))</f>
      </c>
      <c r="Q128" s="54"/>
      <c r="S128" s="110"/>
      <c r="T128" s="12"/>
      <c r="U128" s="12"/>
      <c r="V128" s="12"/>
      <c r="W128" s="19"/>
      <c r="X128" s="111"/>
    </row>
    <row r="129" spans="1:24" ht="12.75">
      <c r="A129" s="60"/>
      <c r="B129" s="61"/>
      <c r="C129" s="64"/>
      <c r="D129" s="63"/>
      <c r="E129" s="32" t="s">
        <v>90</v>
      </c>
      <c r="F129" s="33"/>
      <c r="G129" s="34"/>
      <c r="H129" s="39"/>
      <c r="I129" s="39"/>
      <c r="J129" s="36">
        <f t="shared" si="8"/>
      </c>
      <c r="K129" s="53">
        <f>SUM(K130:K132)</f>
        <v>1170</v>
      </c>
      <c r="L129" s="31" t="s">
        <v>66</v>
      </c>
      <c r="M129" s="33"/>
      <c r="N129" s="34"/>
      <c r="O129" s="36"/>
      <c r="P129" s="53">
        <f>SUM(P130:P132)</f>
        <v>900</v>
      </c>
      <c r="Q129" s="54" t="s">
        <v>66</v>
      </c>
      <c r="S129" s="110" t="s">
        <v>261</v>
      </c>
      <c r="T129" s="114">
        <f>+K129</f>
        <v>1170</v>
      </c>
      <c r="U129" s="12"/>
      <c r="V129" s="12">
        <v>15</v>
      </c>
      <c r="W129" s="112">
        <f>ROUND(+IF(V129&gt;0,T129/V129,""),2)</f>
        <v>78</v>
      </c>
      <c r="X129" s="111"/>
    </row>
    <row r="130" spans="1:24" ht="51" hidden="1" outlineLevel="1">
      <c r="A130" s="60"/>
      <c r="B130" s="61"/>
      <c r="C130" s="64"/>
      <c r="D130" s="63"/>
      <c r="E130" s="38"/>
      <c r="F130" s="33"/>
      <c r="G130" s="34"/>
      <c r="H130" s="39"/>
      <c r="I130" s="39"/>
      <c r="J130" s="36">
        <f t="shared" si="8"/>
      </c>
      <c r="K130" s="37">
        <f>+IF(F130="item",J130,IF(F130&lt;&gt;0,F130*J130,""))</f>
      </c>
      <c r="L130" s="69" t="s">
        <v>65</v>
      </c>
      <c r="M130" s="33"/>
      <c r="N130" s="34"/>
      <c r="O130" s="36"/>
      <c r="P130" s="37">
        <f aca="true" t="shared" si="9" ref="P130:P139">+IF(M130="item",O130,IF(M130&lt;&gt;0,M130*O130,""))</f>
      </c>
      <c r="Q130" s="54"/>
      <c r="S130" s="110"/>
      <c r="T130" s="12"/>
      <c r="U130" s="12"/>
      <c r="V130" s="12"/>
      <c r="W130" s="19"/>
      <c r="X130" s="111"/>
    </row>
    <row r="131" spans="1:24" ht="12.75" hidden="1" outlineLevel="1">
      <c r="A131" s="60"/>
      <c r="B131" s="61"/>
      <c r="C131" s="64"/>
      <c r="D131" s="63"/>
      <c r="E131" s="38"/>
      <c r="F131" s="33">
        <v>12</v>
      </c>
      <c r="G131" s="34" t="s">
        <v>8</v>
      </c>
      <c r="H131" s="39">
        <v>0.75</v>
      </c>
      <c r="I131" s="39">
        <v>75</v>
      </c>
      <c r="J131" s="36">
        <f t="shared" si="8"/>
        <v>97.5</v>
      </c>
      <c r="K131" s="37">
        <f>+IF(F131="item",J131,IF(F131&lt;&gt;0,F131*J131,""))</f>
        <v>1170</v>
      </c>
      <c r="L131" s="91" t="s">
        <v>67</v>
      </c>
      <c r="M131" s="33">
        <f>+F131</f>
        <v>12</v>
      </c>
      <c r="N131" s="34" t="s">
        <v>8</v>
      </c>
      <c r="O131" s="36">
        <f>+I131</f>
        <v>75</v>
      </c>
      <c r="P131" s="37">
        <f t="shared" si="9"/>
        <v>900</v>
      </c>
      <c r="Q131" s="54"/>
      <c r="S131" s="110"/>
      <c r="T131" s="12"/>
      <c r="U131" s="12"/>
      <c r="V131" s="12"/>
      <c r="W131" s="19"/>
      <c r="X131" s="111"/>
    </row>
    <row r="132" spans="1:24" ht="25.5" hidden="1" outlineLevel="1">
      <c r="A132" s="60"/>
      <c r="B132" s="61"/>
      <c r="C132" s="64"/>
      <c r="D132" s="63"/>
      <c r="E132" s="40"/>
      <c r="F132" s="33"/>
      <c r="G132" s="34"/>
      <c r="H132" s="39"/>
      <c r="I132" s="39"/>
      <c r="J132" s="36">
        <f t="shared" si="8"/>
      </c>
      <c r="K132" s="37">
        <f>+IF(F132="item",J132,IF(F132&lt;&gt;0,F132*J132,""))</f>
      </c>
      <c r="L132" s="31" t="s">
        <v>345</v>
      </c>
      <c r="M132" s="33"/>
      <c r="N132" s="34"/>
      <c r="O132" s="36"/>
      <c r="P132" s="37">
        <f t="shared" si="9"/>
      </c>
      <c r="Q132" s="54"/>
      <c r="S132" s="110"/>
      <c r="T132" s="12"/>
      <c r="U132" s="12"/>
      <c r="V132" s="12"/>
      <c r="W132" s="19"/>
      <c r="X132" s="111"/>
    </row>
    <row r="133" spans="1:24" ht="12.75" collapsed="1">
      <c r="A133" s="60"/>
      <c r="B133" s="61"/>
      <c r="C133" s="64"/>
      <c r="D133" s="63"/>
      <c r="E133" s="41"/>
      <c r="F133" s="33"/>
      <c r="G133" s="34"/>
      <c r="H133" s="39"/>
      <c r="I133" s="39"/>
      <c r="J133" s="36">
        <f t="shared" si="8"/>
      </c>
      <c r="K133" s="37">
        <f>+IF(F133="item",J133,IF(F133&lt;&gt;0,F133*J133,""))</f>
      </c>
      <c r="L133" s="31"/>
      <c r="M133" s="33"/>
      <c r="N133" s="34"/>
      <c r="O133" s="36"/>
      <c r="P133" s="37">
        <f t="shared" si="9"/>
      </c>
      <c r="Q133" s="54"/>
      <c r="S133" s="110"/>
      <c r="T133" s="12"/>
      <c r="U133" s="12"/>
      <c r="V133" s="12"/>
      <c r="W133" s="19"/>
      <c r="X133" s="111"/>
    </row>
    <row r="134" spans="1:24" ht="12.75">
      <c r="A134" s="60"/>
      <c r="B134" s="61"/>
      <c r="C134" s="64"/>
      <c r="D134" s="63"/>
      <c r="E134" s="38"/>
      <c r="F134" s="33"/>
      <c r="G134" s="34"/>
      <c r="H134" s="39"/>
      <c r="I134" s="39"/>
      <c r="J134" s="36">
        <f t="shared" si="8"/>
      </c>
      <c r="K134" s="37">
        <f>+IF(F134="item",J134,IF(F134&lt;&gt;0,F134*J134,""))</f>
      </c>
      <c r="L134" s="31"/>
      <c r="M134" s="33"/>
      <c r="N134" s="34"/>
      <c r="O134" s="36"/>
      <c r="P134" s="37">
        <f t="shared" si="9"/>
      </c>
      <c r="Q134" s="54"/>
      <c r="S134" s="110"/>
      <c r="T134" s="12"/>
      <c r="U134" s="12"/>
      <c r="V134" s="12"/>
      <c r="W134" s="19"/>
      <c r="X134" s="111"/>
    </row>
    <row r="135" spans="1:24" ht="12.75">
      <c r="A135" s="60"/>
      <c r="B135" s="61"/>
      <c r="C135" s="64"/>
      <c r="D135" s="63"/>
      <c r="E135" s="32" t="s">
        <v>91</v>
      </c>
      <c r="F135" s="33"/>
      <c r="G135" s="34"/>
      <c r="H135" s="39"/>
      <c r="I135" s="39"/>
      <c r="J135" s="36">
        <f t="shared" si="8"/>
      </c>
      <c r="K135" s="53">
        <f>SUM(K136:K137)</f>
        <v>6531.692307692308</v>
      </c>
      <c r="L135" s="31"/>
      <c r="M135" s="72"/>
      <c r="N135" s="73"/>
      <c r="O135" s="74"/>
      <c r="P135" s="75">
        <f t="shared" si="9"/>
      </c>
      <c r="Q135" s="76"/>
      <c r="S135" s="110"/>
      <c r="T135" s="12"/>
      <c r="U135" s="12"/>
      <c r="V135" s="12"/>
      <c r="W135" s="112">
        <f>SUM(W136:W137)</f>
        <v>217.72</v>
      </c>
      <c r="X135" s="111"/>
    </row>
    <row r="136" spans="1:24" ht="12.75" hidden="1" outlineLevel="1">
      <c r="A136" s="60"/>
      <c r="B136" s="61"/>
      <c r="C136" s="64"/>
      <c r="D136" s="63"/>
      <c r="E136" s="38"/>
      <c r="F136" s="33"/>
      <c r="G136" s="34"/>
      <c r="H136" s="39"/>
      <c r="I136" s="39"/>
      <c r="J136" s="36">
        <f t="shared" si="8"/>
      </c>
      <c r="K136" s="37">
        <f>+IF(F136="item",J136,IF(F136&lt;&gt;0,F136*J136,""))</f>
      </c>
      <c r="L136" s="31"/>
      <c r="M136" s="72"/>
      <c r="N136" s="73"/>
      <c r="O136" s="74"/>
      <c r="P136" s="75">
        <f t="shared" si="9"/>
      </c>
      <c r="Q136" s="76"/>
      <c r="S136" s="110"/>
      <c r="T136" s="12"/>
      <c r="U136" s="12"/>
      <c r="V136" s="12"/>
      <c r="W136" s="19"/>
      <c r="X136" s="111"/>
    </row>
    <row r="137" spans="1:24" ht="12.75" hidden="1" outlineLevel="1">
      <c r="A137" s="60"/>
      <c r="B137" s="61"/>
      <c r="C137" s="64"/>
      <c r="D137" s="63"/>
      <c r="E137" s="38" t="s">
        <v>68</v>
      </c>
      <c r="F137" s="45" t="s">
        <v>1</v>
      </c>
      <c r="G137" s="42"/>
      <c r="H137" s="43"/>
      <c r="I137" s="43"/>
      <c r="J137" s="136">
        <f>((8845/13)*8*1.2)</f>
        <v>6531.692307692308</v>
      </c>
      <c r="K137" s="148">
        <f>+IF(F137="item",J137,IF(F137&lt;&gt;0,F137*J137,""))</f>
        <v>6531.692307692308</v>
      </c>
      <c r="L137" s="31" t="s">
        <v>346</v>
      </c>
      <c r="M137" s="72"/>
      <c r="N137" s="73"/>
      <c r="O137" s="74"/>
      <c r="P137" s="75">
        <f t="shared" si="9"/>
      </c>
      <c r="Q137" s="76"/>
      <c r="S137" s="110" t="str">
        <f>+E137</f>
        <v>Storm windows</v>
      </c>
      <c r="T137" s="114">
        <f>+K137</f>
        <v>6531.692307692308</v>
      </c>
      <c r="U137" s="12"/>
      <c r="V137" s="12">
        <v>30</v>
      </c>
      <c r="W137" s="19">
        <f>ROUND(+IF(V137&gt;0,T137/V137,""),2)</f>
        <v>217.72</v>
      </c>
      <c r="X137" s="111"/>
    </row>
    <row r="138" spans="1:24" ht="12.75" hidden="1" outlineLevel="1">
      <c r="A138" s="60"/>
      <c r="B138" s="66"/>
      <c r="C138" s="64"/>
      <c r="D138" s="63"/>
      <c r="E138" s="38"/>
      <c r="F138" s="33"/>
      <c r="G138" s="34"/>
      <c r="H138" s="39"/>
      <c r="I138" s="39"/>
      <c r="J138" s="36">
        <f>IF(+I138+H138&gt;0,I138+(H138*labour),"")</f>
      </c>
      <c r="K138" s="37">
        <f>+IF(F138="item",J138,IF(F138&lt;&gt;0,F138*J138,""))</f>
      </c>
      <c r="L138" s="31"/>
      <c r="M138" s="33"/>
      <c r="N138" s="34"/>
      <c r="O138" s="36"/>
      <c r="P138" s="37">
        <f t="shared" si="9"/>
      </c>
      <c r="Q138" s="54"/>
      <c r="S138" s="110"/>
      <c r="T138" s="12"/>
      <c r="U138" s="12"/>
      <c r="V138" s="12"/>
      <c r="W138" s="19"/>
      <c r="X138" s="111"/>
    </row>
    <row r="139" spans="1:24" ht="12.75" collapsed="1">
      <c r="A139" s="60"/>
      <c r="B139" s="61"/>
      <c r="C139" s="64"/>
      <c r="D139" s="63"/>
      <c r="E139" s="38"/>
      <c r="F139" s="33"/>
      <c r="G139" s="34"/>
      <c r="H139" s="39"/>
      <c r="I139" s="39"/>
      <c r="J139" s="36">
        <f>IF(+I139+H139&gt;0,I139+(H139*labour),"")</f>
      </c>
      <c r="K139" s="37">
        <f>+IF(F139="item",J139,IF(F139&lt;&gt;0,F139*J139,""))</f>
      </c>
      <c r="L139" s="31"/>
      <c r="M139" s="33"/>
      <c r="N139" s="34"/>
      <c r="O139" s="36"/>
      <c r="P139" s="37">
        <f t="shared" si="9"/>
      </c>
      <c r="Q139" s="54"/>
      <c r="S139" s="110"/>
      <c r="T139" s="12"/>
      <c r="U139" s="12"/>
      <c r="V139" s="12"/>
      <c r="W139" s="19"/>
      <c r="X139" s="111"/>
    </row>
    <row r="140" spans="1:24" ht="15.75">
      <c r="A140" s="60"/>
      <c r="B140" s="61"/>
      <c r="C140" s="64"/>
      <c r="D140" s="63"/>
      <c r="E140" s="78" t="s">
        <v>92</v>
      </c>
      <c r="F140" s="79"/>
      <c r="G140" s="80"/>
      <c r="H140" s="81"/>
      <c r="I140" s="81"/>
      <c r="J140" s="82"/>
      <c r="K140" s="83"/>
      <c r="L140" s="84"/>
      <c r="M140" s="79"/>
      <c r="N140" s="80"/>
      <c r="O140" s="82"/>
      <c r="P140" s="83"/>
      <c r="Q140" s="85"/>
      <c r="S140" s="110"/>
      <c r="T140" s="12"/>
      <c r="U140" s="12"/>
      <c r="V140" s="12"/>
      <c r="W140" s="19"/>
      <c r="X140" s="111"/>
    </row>
    <row r="141" spans="1:24" ht="12.75">
      <c r="A141" s="60"/>
      <c r="B141" s="61"/>
      <c r="C141" s="64"/>
      <c r="D141" s="63"/>
      <c r="E141" s="38"/>
      <c r="F141" s="33"/>
      <c r="G141" s="34"/>
      <c r="H141" s="39"/>
      <c r="I141" s="39"/>
      <c r="J141" s="36"/>
      <c r="K141" s="37"/>
      <c r="L141" s="31"/>
      <c r="M141" s="33"/>
      <c r="N141" s="34"/>
      <c r="O141" s="36"/>
      <c r="P141" s="37"/>
      <c r="Q141" s="54"/>
      <c r="S141" s="110"/>
      <c r="T141" s="12"/>
      <c r="U141" s="12"/>
      <c r="V141" s="12"/>
      <c r="W141" s="19"/>
      <c r="X141" s="111"/>
    </row>
    <row r="142" spans="1:24" ht="63.75">
      <c r="A142" s="60"/>
      <c r="B142" s="61"/>
      <c r="C142" s="64"/>
      <c r="D142" s="63"/>
      <c r="E142" s="32" t="s">
        <v>93</v>
      </c>
      <c r="F142" s="33"/>
      <c r="G142" s="34"/>
      <c r="H142" s="39"/>
      <c r="I142" s="39"/>
      <c r="J142" s="36">
        <f>IF(+I142+H142&gt;0,I142+(H142*labour),"")</f>
      </c>
      <c r="K142" s="37"/>
      <c r="L142" s="31" t="s">
        <v>94</v>
      </c>
      <c r="M142" s="33"/>
      <c r="N142" s="34"/>
      <c r="O142" s="36"/>
      <c r="P142" s="37">
        <f>+IF(M142="item",O142,IF(M142&lt;&gt;0,M142*O142,""))</f>
      </c>
      <c r="Q142" s="54"/>
      <c r="S142" s="110"/>
      <c r="T142" s="12"/>
      <c r="U142" s="12"/>
      <c r="V142" s="12"/>
      <c r="W142" s="115">
        <v>0</v>
      </c>
      <c r="X142" s="111"/>
    </row>
    <row r="143" spans="1:24" ht="12.75">
      <c r="A143" s="60"/>
      <c r="B143" s="61"/>
      <c r="C143" s="64"/>
      <c r="D143" s="63"/>
      <c r="E143" s="32"/>
      <c r="F143" s="33"/>
      <c r="G143" s="34"/>
      <c r="H143" s="39"/>
      <c r="I143" s="39"/>
      <c r="J143" s="36"/>
      <c r="K143" s="37"/>
      <c r="L143" s="31"/>
      <c r="M143" s="33"/>
      <c r="N143" s="34"/>
      <c r="O143" s="36"/>
      <c r="P143" s="37"/>
      <c r="Q143" s="54"/>
      <c r="S143" s="110"/>
      <c r="T143" s="12"/>
      <c r="U143" s="12"/>
      <c r="V143" s="12"/>
      <c r="W143" s="19"/>
      <c r="X143" s="111"/>
    </row>
    <row r="144" spans="1:24" ht="12.75">
      <c r="A144" s="60"/>
      <c r="B144" s="61"/>
      <c r="C144" s="64"/>
      <c r="D144" s="63"/>
      <c r="E144" s="38"/>
      <c r="F144" s="33"/>
      <c r="G144" s="42"/>
      <c r="H144" s="43"/>
      <c r="I144" s="43"/>
      <c r="J144" s="36">
        <f aca="true" t="shared" si="10" ref="J144:J150">IF(+I144+H144&gt;0,I144+(H144*labour),"")</f>
      </c>
      <c r="K144" s="37">
        <f>+IF(F144="item",J144,IF(F144&lt;&gt;0,F144*J144,""))</f>
      </c>
      <c r="L144" s="31"/>
      <c r="M144" s="33"/>
      <c r="N144" s="42"/>
      <c r="O144" s="36"/>
      <c r="P144" s="37">
        <f>+IF(M144="item",O144,IF(M144&lt;&gt;0,M144*O144,""))</f>
      </c>
      <c r="Q144" s="54"/>
      <c r="S144" s="110"/>
      <c r="T144" s="12"/>
      <c r="U144" s="12"/>
      <c r="V144" s="12"/>
      <c r="W144" s="19"/>
      <c r="X144" s="111"/>
    </row>
    <row r="145" spans="1:24" ht="25.5" customHeight="1">
      <c r="A145" s="60"/>
      <c r="B145" s="61"/>
      <c r="C145" s="64"/>
      <c r="D145" s="65"/>
      <c r="E145" s="139" t="s">
        <v>95</v>
      </c>
      <c r="F145" s="72"/>
      <c r="G145" s="73"/>
      <c r="H145" s="140"/>
      <c r="I145" s="140"/>
      <c r="J145" s="74">
        <f t="shared" si="10"/>
      </c>
      <c r="K145" s="75">
        <f>+IF(F145="item",J145,IF(F145&lt;&gt;0,F145*J145,""))</f>
      </c>
      <c r="L145" s="141" t="s">
        <v>322</v>
      </c>
      <c r="M145" s="72"/>
      <c r="N145" s="73"/>
      <c r="O145" s="74"/>
      <c r="P145" s="75">
        <f>+IF(M145="item",O145,IF(M145&lt;&gt;0,M145*O145,""))</f>
      </c>
      <c r="Q145" s="76"/>
      <c r="S145" s="110"/>
      <c r="T145" s="12"/>
      <c r="U145" s="12"/>
      <c r="V145" s="12"/>
      <c r="W145" s="112">
        <f>SUM(W146:W147)</f>
        <v>0</v>
      </c>
      <c r="X145" s="111"/>
    </row>
    <row r="146" spans="1:24" ht="12.75" hidden="1" outlineLevel="1">
      <c r="A146" s="60"/>
      <c r="B146" s="61"/>
      <c r="C146" s="64"/>
      <c r="D146" s="63"/>
      <c r="E146" s="44"/>
      <c r="F146" s="33"/>
      <c r="G146" s="42"/>
      <c r="H146" s="43"/>
      <c r="I146" s="43"/>
      <c r="J146" s="36">
        <f t="shared" si="10"/>
      </c>
      <c r="K146" s="37">
        <f>+IF(F146="item",J146,IF(F146&lt;&gt;0,F146*J146,""))</f>
      </c>
      <c r="L146" s="31"/>
      <c r="M146" s="33"/>
      <c r="N146" s="42"/>
      <c r="O146" s="36"/>
      <c r="P146" s="37">
        <f>+IF(M146="item",O146,IF(M146&lt;&gt;0,M146*O146,""))</f>
      </c>
      <c r="Q146" s="54"/>
      <c r="S146" s="110"/>
      <c r="T146" s="12"/>
      <c r="U146" s="12"/>
      <c r="V146" s="12"/>
      <c r="W146" s="19"/>
      <c r="X146" s="111"/>
    </row>
    <row r="147" spans="1:24" ht="12.75" hidden="1" outlineLevel="1">
      <c r="A147" s="60"/>
      <c r="B147" s="61"/>
      <c r="C147" s="64"/>
      <c r="D147" s="63"/>
      <c r="E147" s="32"/>
      <c r="F147" s="33"/>
      <c r="G147" s="42"/>
      <c r="H147" s="43"/>
      <c r="I147" s="43"/>
      <c r="J147" s="36">
        <f t="shared" si="10"/>
      </c>
      <c r="K147" s="37">
        <f>+IF(F147="item",J147,IF(F147&lt;&gt;0,F147*J147,""))</f>
      </c>
      <c r="L147" s="31"/>
      <c r="M147" s="33"/>
      <c r="N147" s="42"/>
      <c r="O147" s="36"/>
      <c r="P147" s="37">
        <f aca="true" t="shared" si="11" ref="P147:P158">+IF(M147="item",O147,IF(M147&lt;&gt;0,M147*O147,""))</f>
      </c>
      <c r="Q147" s="54"/>
      <c r="S147" s="110"/>
      <c r="T147" s="12"/>
      <c r="U147" s="12"/>
      <c r="V147" s="12"/>
      <c r="W147" s="19"/>
      <c r="X147" s="111"/>
    </row>
    <row r="148" spans="1:24" ht="12.75" collapsed="1">
      <c r="A148" s="60"/>
      <c r="B148" s="61"/>
      <c r="C148" s="64"/>
      <c r="D148" s="63"/>
      <c r="E148" s="38"/>
      <c r="F148" s="33"/>
      <c r="G148" s="42"/>
      <c r="H148" s="43"/>
      <c r="I148" s="43"/>
      <c r="J148" s="36">
        <f t="shared" si="10"/>
      </c>
      <c r="K148" s="37">
        <f>+IF(F148="item",J148,IF(F148&lt;&gt;0,F148*J148,""))</f>
      </c>
      <c r="L148" s="31"/>
      <c r="M148" s="33"/>
      <c r="N148" s="42"/>
      <c r="O148" s="36"/>
      <c r="P148" s="37">
        <f t="shared" si="11"/>
      </c>
      <c r="Q148" s="54"/>
      <c r="S148" s="110"/>
      <c r="T148" s="12"/>
      <c r="U148" s="12"/>
      <c r="V148" s="12"/>
      <c r="W148" s="19"/>
      <c r="X148" s="111"/>
    </row>
    <row r="149" spans="1:24" ht="12.75">
      <c r="A149" s="60"/>
      <c r="B149" s="61"/>
      <c r="C149" s="64"/>
      <c r="D149" s="63"/>
      <c r="E149" s="32" t="s">
        <v>96</v>
      </c>
      <c r="F149" s="33"/>
      <c r="G149" s="42"/>
      <c r="H149" s="43"/>
      <c r="I149" s="43"/>
      <c r="J149" s="36">
        <f t="shared" si="10"/>
      </c>
      <c r="K149" s="53">
        <f>SUM(K150:K151)</f>
        <v>975</v>
      </c>
      <c r="L149" s="31"/>
      <c r="M149" s="72"/>
      <c r="N149" s="73"/>
      <c r="O149" s="74"/>
      <c r="P149" s="75">
        <f t="shared" si="11"/>
      </c>
      <c r="Q149" s="76"/>
      <c r="S149" s="110" t="s">
        <v>262</v>
      </c>
      <c r="T149" s="114">
        <f>11*20</f>
        <v>220</v>
      </c>
      <c r="U149" s="12"/>
      <c r="V149" s="12">
        <v>10</v>
      </c>
      <c r="W149" s="112">
        <f>ROUND(+IF(V149&gt;0,T149/V149,""),2)</f>
        <v>22</v>
      </c>
      <c r="X149" s="111" t="s">
        <v>263</v>
      </c>
    </row>
    <row r="150" spans="1:24" ht="12.75">
      <c r="A150" s="60"/>
      <c r="B150" s="61"/>
      <c r="C150" s="64"/>
      <c r="D150" s="63"/>
      <c r="E150" s="38"/>
      <c r="F150" s="33"/>
      <c r="G150" s="34"/>
      <c r="H150" s="39"/>
      <c r="I150" s="39"/>
      <c r="J150" s="36">
        <f t="shared" si="10"/>
      </c>
      <c r="K150" s="37">
        <f>+IF(F150="item",J150,IF(F150&lt;&gt;0,F150*J150,""))</f>
      </c>
      <c r="L150" s="31"/>
      <c r="M150" s="72"/>
      <c r="N150" s="73"/>
      <c r="O150" s="74"/>
      <c r="P150" s="75">
        <f t="shared" si="11"/>
      </c>
      <c r="Q150" s="76"/>
      <c r="S150" s="110"/>
      <c r="T150" s="12"/>
      <c r="U150" s="12"/>
      <c r="V150" s="12"/>
      <c r="W150" s="19"/>
      <c r="X150" s="111"/>
    </row>
    <row r="151" spans="1:24" ht="38.25" customHeight="1" hidden="1" outlineLevel="1">
      <c r="A151" s="60"/>
      <c r="B151" s="61"/>
      <c r="C151" s="64"/>
      <c r="D151" s="63"/>
      <c r="E151" s="38"/>
      <c r="F151" s="33">
        <v>13</v>
      </c>
      <c r="G151" s="42" t="s">
        <v>8</v>
      </c>
      <c r="H151" s="43"/>
      <c r="I151" s="43"/>
      <c r="J151" s="36">
        <v>75</v>
      </c>
      <c r="K151" s="37">
        <f>+IF(F151="item",J151,IF(F151&lt;&gt;0,F151*J151,""))</f>
        <v>975</v>
      </c>
      <c r="L151" s="149" t="s">
        <v>389</v>
      </c>
      <c r="M151" s="72"/>
      <c r="N151" s="73"/>
      <c r="O151" s="74"/>
      <c r="P151" s="75">
        <f t="shared" si="11"/>
      </c>
      <c r="Q151" s="76"/>
      <c r="S151" s="110"/>
      <c r="T151" s="12"/>
      <c r="U151" s="12"/>
      <c r="V151" s="12"/>
      <c r="W151" s="19"/>
      <c r="X151" s="111"/>
    </row>
    <row r="152" spans="1:24" ht="12.75" hidden="1" outlineLevel="1">
      <c r="A152" s="60"/>
      <c r="B152" s="61"/>
      <c r="C152" s="64"/>
      <c r="D152" s="63"/>
      <c r="E152" s="32"/>
      <c r="F152" s="33"/>
      <c r="G152" s="42"/>
      <c r="H152" s="43"/>
      <c r="I152" s="43"/>
      <c r="J152" s="36">
        <f aca="true" t="shared" si="12" ref="J152:J161">IF(+I152+H152&gt;0,I152+(H152*labour),"")</f>
      </c>
      <c r="K152" s="37">
        <f>+IF(F152="item",J152,IF(F152&lt;&gt;0,F152*J152,""))</f>
      </c>
      <c r="L152" s="31"/>
      <c r="M152" s="72"/>
      <c r="N152" s="73"/>
      <c r="O152" s="74"/>
      <c r="P152" s="75">
        <f t="shared" si="11"/>
      </c>
      <c r="Q152" s="76"/>
      <c r="S152" s="110"/>
      <c r="T152" s="12"/>
      <c r="U152" s="12"/>
      <c r="V152" s="12"/>
      <c r="W152" s="19"/>
      <c r="X152" s="111"/>
    </row>
    <row r="153" spans="1:24" ht="12.75" collapsed="1">
      <c r="A153" s="60"/>
      <c r="B153" s="61"/>
      <c r="C153" s="64"/>
      <c r="D153" s="63"/>
      <c r="E153" s="38"/>
      <c r="F153" s="33"/>
      <c r="G153" s="42"/>
      <c r="H153" s="43"/>
      <c r="I153" s="43"/>
      <c r="J153" s="36">
        <f t="shared" si="12"/>
      </c>
      <c r="K153" s="37">
        <f>+IF(F153="item",J153,IF(F153&lt;&gt;0,F153*J153,""))</f>
      </c>
      <c r="L153" s="31"/>
      <c r="M153" s="33"/>
      <c r="N153" s="42"/>
      <c r="O153" s="36"/>
      <c r="P153" s="37">
        <f t="shared" si="11"/>
      </c>
      <c r="Q153" s="54"/>
      <c r="S153" s="110"/>
      <c r="T153" s="12"/>
      <c r="U153" s="12"/>
      <c r="V153" s="12"/>
      <c r="W153" s="19"/>
      <c r="X153" s="111"/>
    </row>
    <row r="154" spans="1:24" ht="38.25">
      <c r="A154" s="60"/>
      <c r="B154" s="61"/>
      <c r="C154" s="64"/>
      <c r="D154" s="63"/>
      <c r="E154" s="32" t="s">
        <v>100</v>
      </c>
      <c r="F154" s="33"/>
      <c r="G154" s="42"/>
      <c r="H154" s="43"/>
      <c r="I154" s="43"/>
      <c r="J154" s="36">
        <f t="shared" si="12"/>
      </c>
      <c r="K154" s="53">
        <f>1650*1.2</f>
        <v>1980</v>
      </c>
      <c r="L154" s="31" t="s">
        <v>103</v>
      </c>
      <c r="M154" s="72"/>
      <c r="N154" s="73"/>
      <c r="O154" s="74"/>
      <c r="P154" s="75">
        <f t="shared" si="11"/>
      </c>
      <c r="Q154" s="76"/>
      <c r="S154" s="110"/>
      <c r="T154" s="12"/>
      <c r="U154" s="12"/>
      <c r="V154" s="12"/>
      <c r="W154" s="19"/>
      <c r="X154" s="116" t="s">
        <v>264</v>
      </c>
    </row>
    <row r="155" spans="1:24" ht="12.75" hidden="1" outlineLevel="1">
      <c r="A155" s="60"/>
      <c r="B155" s="61"/>
      <c r="C155" s="64"/>
      <c r="D155" s="63"/>
      <c r="E155" s="38"/>
      <c r="F155" s="33"/>
      <c r="G155" s="42"/>
      <c r="H155" s="43"/>
      <c r="I155" s="43"/>
      <c r="J155" s="36">
        <f t="shared" si="12"/>
      </c>
      <c r="K155" s="37">
        <f>+IF(F155="item",J155,IF(F155&lt;&gt;0,F155*J155,""))</f>
      </c>
      <c r="L155" s="31" t="s">
        <v>174</v>
      </c>
      <c r="M155" s="72"/>
      <c r="N155" s="73"/>
      <c r="O155" s="74"/>
      <c r="P155" s="75">
        <f t="shared" si="11"/>
      </c>
      <c r="Q155" s="76"/>
      <c r="S155" s="110"/>
      <c r="T155" s="12"/>
      <c r="U155" s="12"/>
      <c r="V155" s="12"/>
      <c r="W155" s="19"/>
      <c r="X155" s="111"/>
    </row>
    <row r="156" spans="1:24" ht="12.75" hidden="1" outlineLevel="1">
      <c r="A156" s="60"/>
      <c r="B156" s="61"/>
      <c r="C156" s="64"/>
      <c r="D156" s="63"/>
      <c r="E156" s="38"/>
      <c r="F156" s="33"/>
      <c r="G156" s="42"/>
      <c r="H156" s="43"/>
      <c r="I156" s="43"/>
      <c r="J156" s="36">
        <f t="shared" si="12"/>
      </c>
      <c r="K156" s="37">
        <f>+IF(F156="item",J156,IF(F156&lt;&gt;0,F156*J156,""))</f>
      </c>
      <c r="L156" s="31"/>
      <c r="M156" s="72"/>
      <c r="N156" s="73"/>
      <c r="O156" s="74"/>
      <c r="P156" s="75">
        <f t="shared" si="11"/>
      </c>
      <c r="Q156" s="76"/>
      <c r="S156" s="110"/>
      <c r="T156" s="12"/>
      <c r="U156" s="12"/>
      <c r="V156" s="12"/>
      <c r="W156" s="19"/>
      <c r="X156" s="111"/>
    </row>
    <row r="157" spans="1:24" ht="12.75" collapsed="1">
      <c r="A157" s="60"/>
      <c r="B157" s="61"/>
      <c r="C157" s="64"/>
      <c r="D157" s="63"/>
      <c r="E157" s="38"/>
      <c r="F157" s="33"/>
      <c r="G157" s="42"/>
      <c r="H157" s="43"/>
      <c r="I157" s="43"/>
      <c r="J157" s="36">
        <f t="shared" si="12"/>
      </c>
      <c r="K157" s="37">
        <f>+IF(F157="item",J157,IF(F157&lt;&gt;0,F157*J157,""))</f>
      </c>
      <c r="L157" s="31"/>
      <c r="M157" s="33"/>
      <c r="N157" s="42"/>
      <c r="O157" s="36"/>
      <c r="P157" s="37">
        <f t="shared" si="11"/>
      </c>
      <c r="Q157" s="54"/>
      <c r="S157" s="110"/>
      <c r="T157" s="12"/>
      <c r="U157" s="12"/>
      <c r="V157" s="12"/>
      <c r="W157" s="19"/>
      <c r="X157" s="111"/>
    </row>
    <row r="158" spans="1:24" ht="12.75">
      <c r="A158" s="60"/>
      <c r="B158" s="61"/>
      <c r="C158" s="64"/>
      <c r="D158" s="63"/>
      <c r="E158" s="38"/>
      <c r="F158" s="33"/>
      <c r="G158" s="42"/>
      <c r="H158" s="43"/>
      <c r="I158" s="43"/>
      <c r="J158" s="36">
        <f t="shared" si="12"/>
      </c>
      <c r="K158" s="37">
        <f>+IF(F158="item",J158,IF(F158&lt;&gt;0,F158*J158,""))</f>
      </c>
      <c r="L158" s="31"/>
      <c r="M158" s="33"/>
      <c r="N158" s="42"/>
      <c r="O158" s="36"/>
      <c r="P158" s="37">
        <f t="shared" si="11"/>
      </c>
      <c r="Q158" s="54"/>
      <c r="S158" s="110"/>
      <c r="T158" s="12"/>
      <c r="U158" s="12"/>
      <c r="V158" s="12"/>
      <c r="W158" s="19"/>
      <c r="X158" s="111"/>
    </row>
    <row r="159" spans="1:24" ht="12.75">
      <c r="A159" s="60"/>
      <c r="B159" s="61"/>
      <c r="C159" s="64"/>
      <c r="D159" s="63"/>
      <c r="E159" s="32" t="s">
        <v>104</v>
      </c>
      <c r="F159" s="33"/>
      <c r="G159" s="42"/>
      <c r="H159" s="43"/>
      <c r="I159" s="43"/>
      <c r="J159" s="36">
        <f t="shared" si="12"/>
      </c>
      <c r="K159" s="53">
        <f>SUM(K160:K175)</f>
        <v>1645.9361600000002</v>
      </c>
      <c r="L159" s="31"/>
      <c r="M159" s="33"/>
      <c r="N159" s="42"/>
      <c r="O159" s="36"/>
      <c r="P159" s="53">
        <f>SUM(P160:P173)</f>
        <v>707.1090909090909</v>
      </c>
      <c r="Q159" s="54"/>
      <c r="S159" s="110"/>
      <c r="T159" s="12"/>
      <c r="U159" s="12"/>
      <c r="V159" s="12"/>
      <c r="W159" s="112">
        <f>SUM(W160:W173)</f>
        <v>24.939999999999998</v>
      </c>
      <c r="X159" s="111"/>
    </row>
    <row r="160" spans="1:24" ht="12.75">
      <c r="A160" s="60"/>
      <c r="B160" s="61"/>
      <c r="C160" s="64"/>
      <c r="D160" s="63"/>
      <c r="E160" s="38"/>
      <c r="F160" s="33"/>
      <c r="G160" s="42"/>
      <c r="H160" s="43"/>
      <c r="I160" s="43"/>
      <c r="J160" s="36">
        <f t="shared" si="12"/>
      </c>
      <c r="K160" s="37">
        <f>+IF(F160="item",J160,IF(F160&lt;&gt;0,F160*J160,""))</f>
      </c>
      <c r="L160" s="31"/>
      <c r="M160" s="33"/>
      <c r="N160" s="42"/>
      <c r="O160" s="36"/>
      <c r="P160" s="37">
        <f>+IF(M160="item",O160,IF(M160&lt;&gt;0,M160*O160,""))</f>
      </c>
      <c r="Q160" s="54"/>
      <c r="S160" s="113" t="s">
        <v>257</v>
      </c>
      <c r="T160" s="12"/>
      <c r="U160" s="12"/>
      <c r="V160" s="12"/>
      <c r="W160" s="19"/>
      <c r="X160" s="111"/>
    </row>
    <row r="161" spans="1:24" ht="12.75" hidden="1" outlineLevel="1">
      <c r="A161" s="60"/>
      <c r="B161" s="61"/>
      <c r="C161" s="64"/>
      <c r="D161" s="63"/>
      <c r="E161" s="38" t="s">
        <v>62</v>
      </c>
      <c r="F161" s="33">
        <f>ROUND(D165,0)</f>
        <v>66</v>
      </c>
      <c r="G161" s="42" t="s">
        <v>35</v>
      </c>
      <c r="H161" s="43"/>
      <c r="I161" s="43">
        <f>+felt</f>
        <v>3.2016000000000004</v>
      </c>
      <c r="J161" s="36">
        <f t="shared" si="12"/>
        <v>3.2016000000000004</v>
      </c>
      <c r="K161" s="37">
        <f>+IF(F161="item",J161,IF(F161&lt;&gt;0,F161*J161,""))</f>
        <v>211.30560000000003</v>
      </c>
      <c r="L161" s="31"/>
      <c r="M161" s="33">
        <v>200</v>
      </c>
      <c r="N161" s="42" t="s">
        <v>35</v>
      </c>
      <c r="O161" s="36">
        <f>+I161/1.1</f>
        <v>2.9105454545454545</v>
      </c>
      <c r="P161" s="37">
        <f>+IF(M161="item",O161,IF(M161&lt;&gt;0,M161*O161,""))</f>
        <v>582.1090909090909</v>
      </c>
      <c r="Q161" s="54" t="s">
        <v>119</v>
      </c>
      <c r="S161" s="110" t="str">
        <f>+E161</f>
        <v>Underlay</v>
      </c>
      <c r="T161" s="114">
        <f>+K161</f>
        <v>211.30560000000003</v>
      </c>
      <c r="U161" s="12"/>
      <c r="V161" s="12">
        <v>60</v>
      </c>
      <c r="W161" s="19">
        <f>ROUND(+IF(V161&gt;0,T161/V161,""),2)</f>
        <v>3.52</v>
      </c>
      <c r="X161" s="111"/>
    </row>
    <row r="162" spans="1:24" ht="12.75" hidden="1" outlineLevel="1">
      <c r="A162" s="60"/>
      <c r="B162" s="61">
        <v>2</v>
      </c>
      <c r="C162" s="64">
        <v>4</v>
      </c>
      <c r="D162" s="63"/>
      <c r="E162" s="38"/>
      <c r="F162" s="33"/>
      <c r="G162" s="42"/>
      <c r="H162" s="43"/>
      <c r="I162" s="43"/>
      <c r="J162" s="36"/>
      <c r="K162" s="37"/>
      <c r="L162" s="31"/>
      <c r="M162" s="33"/>
      <c r="N162" s="42"/>
      <c r="O162" s="36"/>
      <c r="P162" s="37"/>
      <c r="Q162" s="54"/>
      <c r="S162" s="110"/>
      <c r="T162" s="114"/>
      <c r="U162" s="12"/>
      <c r="V162" s="12"/>
      <c r="W162" s="19"/>
      <c r="X162" s="111"/>
    </row>
    <row r="163" spans="1:24" ht="12.75" hidden="1" outlineLevel="1">
      <c r="A163" s="60"/>
      <c r="B163" s="61"/>
      <c r="C163" s="135">
        <v>8.2</v>
      </c>
      <c r="D163" s="63">
        <f>+C163*C162*B162</f>
        <v>65.6</v>
      </c>
      <c r="E163" s="38"/>
      <c r="F163" s="33"/>
      <c r="G163" s="42"/>
      <c r="H163" s="43"/>
      <c r="I163" s="43"/>
      <c r="J163" s="36"/>
      <c r="K163" s="37"/>
      <c r="L163" s="31"/>
      <c r="M163" s="33"/>
      <c r="N163" s="42"/>
      <c r="O163" s="36"/>
      <c r="P163" s="37"/>
      <c r="Q163" s="54"/>
      <c r="S163" s="110"/>
      <c r="T163" s="114"/>
      <c r="U163" s="12"/>
      <c r="V163" s="12"/>
      <c r="W163" s="19"/>
      <c r="X163" s="111"/>
    </row>
    <row r="164" spans="1:24" ht="12.75" hidden="1" outlineLevel="1">
      <c r="A164" s="60"/>
      <c r="B164" s="61"/>
      <c r="C164" s="64"/>
      <c r="D164" s="63"/>
      <c r="E164" s="38"/>
      <c r="F164" s="33"/>
      <c r="G164" s="42"/>
      <c r="H164" s="43"/>
      <c r="I164" s="43"/>
      <c r="J164" s="36"/>
      <c r="K164" s="37"/>
      <c r="L164" s="31"/>
      <c r="M164" s="33"/>
      <c r="N164" s="42"/>
      <c r="O164" s="36"/>
      <c r="P164" s="37"/>
      <c r="Q164" s="54"/>
      <c r="S164" s="110"/>
      <c r="T164" s="114"/>
      <c r="U164" s="12"/>
      <c r="V164" s="12"/>
      <c r="W164" s="19"/>
      <c r="X164" s="111"/>
    </row>
    <row r="165" spans="1:24" ht="12.75" hidden="1" outlineLevel="1">
      <c r="A165" s="60"/>
      <c r="B165" s="61"/>
      <c r="C165" s="64"/>
      <c r="D165" s="65">
        <f>SUM(D162:D164)</f>
        <v>65.6</v>
      </c>
      <c r="E165" s="38"/>
      <c r="F165" s="33"/>
      <c r="G165" s="42"/>
      <c r="H165" s="43"/>
      <c r="I165" s="43"/>
      <c r="J165" s="36"/>
      <c r="K165" s="37"/>
      <c r="L165" s="31"/>
      <c r="M165" s="33"/>
      <c r="N165" s="42"/>
      <c r="O165" s="36"/>
      <c r="P165" s="37"/>
      <c r="Q165" s="54"/>
      <c r="S165" s="110"/>
      <c r="T165" s="114"/>
      <c r="U165" s="12"/>
      <c r="V165" s="12"/>
      <c r="W165" s="19"/>
      <c r="X165" s="111"/>
    </row>
    <row r="166" spans="1:24" ht="12.75" hidden="1" outlineLevel="1">
      <c r="A166" s="60"/>
      <c r="B166" s="61"/>
      <c r="C166" s="64"/>
      <c r="D166" s="63"/>
      <c r="E166" s="38"/>
      <c r="F166" s="33"/>
      <c r="G166" s="42"/>
      <c r="H166" s="43"/>
      <c r="I166" s="43"/>
      <c r="J166" s="36">
        <f aca="true" t="shared" si="13" ref="J166:J172">IF(+I166+H166&gt;0,I166+(H166*labour),"")</f>
      </c>
      <c r="K166" s="37">
        <f aca="true" t="shared" si="14" ref="K166:K173">+IF(F166="item",J166,IF(F166&lt;&gt;0,F166*J166,""))</f>
      </c>
      <c r="L166" s="31"/>
      <c r="M166" s="33"/>
      <c r="N166" s="42"/>
      <c r="O166" s="36"/>
      <c r="P166" s="37">
        <f aca="true" t="shared" si="15" ref="P166:P173">+IF(M166="item",O166,IF(M166&lt;&gt;0,M166*O166,""))</f>
      </c>
      <c r="Q166" s="54"/>
      <c r="S166" s="110"/>
      <c r="T166" s="12"/>
      <c r="U166" s="12"/>
      <c r="V166" s="12"/>
      <c r="W166" s="19"/>
      <c r="X166" s="111"/>
    </row>
    <row r="167" spans="1:24" ht="12.75" hidden="1" outlineLevel="1">
      <c r="A167" s="60"/>
      <c r="B167" s="61"/>
      <c r="C167" s="64"/>
      <c r="D167" s="63"/>
      <c r="E167" s="38" t="s">
        <v>107</v>
      </c>
      <c r="F167" s="33">
        <v>50</v>
      </c>
      <c r="G167" s="42" t="s">
        <v>108</v>
      </c>
      <c r="H167" s="43"/>
      <c r="I167" s="43">
        <v>0.5</v>
      </c>
      <c r="J167" s="36">
        <f t="shared" si="13"/>
        <v>0.5</v>
      </c>
      <c r="K167" s="37">
        <f t="shared" si="14"/>
        <v>25</v>
      </c>
      <c r="L167" s="31"/>
      <c r="M167" s="33">
        <f>+F167</f>
        <v>50</v>
      </c>
      <c r="N167" s="42"/>
      <c r="O167" s="36">
        <f>+I167</f>
        <v>0.5</v>
      </c>
      <c r="P167" s="37">
        <f t="shared" si="15"/>
        <v>25</v>
      </c>
      <c r="Q167" s="54"/>
      <c r="S167" s="110" t="str">
        <f>+E167</f>
        <v>Battens</v>
      </c>
      <c r="T167" s="114">
        <f>+K167</f>
        <v>25</v>
      </c>
      <c r="U167" s="12"/>
      <c r="V167" s="12">
        <v>60</v>
      </c>
      <c r="W167" s="19">
        <f>ROUND(+IF(V167&gt;0,T167/V167,""),2)</f>
        <v>0.42</v>
      </c>
      <c r="X167" s="111"/>
    </row>
    <row r="168" spans="1:24" ht="12.75" hidden="1" outlineLevel="1">
      <c r="A168" s="60"/>
      <c r="B168" s="61"/>
      <c r="C168" s="64"/>
      <c r="D168" s="63"/>
      <c r="E168" s="38"/>
      <c r="F168" s="33"/>
      <c r="G168" s="42"/>
      <c r="H168" s="43"/>
      <c r="I168" s="43"/>
      <c r="J168" s="36">
        <f t="shared" si="13"/>
      </c>
      <c r="K168" s="37">
        <f t="shared" si="14"/>
      </c>
      <c r="L168" s="31"/>
      <c r="M168" s="33"/>
      <c r="N168" s="42"/>
      <c r="O168" s="36"/>
      <c r="P168" s="37">
        <f t="shared" si="15"/>
      </c>
      <c r="Q168" s="54"/>
      <c r="S168" s="110"/>
      <c r="T168" s="12"/>
      <c r="U168" s="12"/>
      <c r="V168" s="12"/>
      <c r="W168" s="19"/>
      <c r="X168" s="111"/>
    </row>
    <row r="169" spans="1:24" ht="12.75" hidden="1" outlineLevel="1">
      <c r="A169" s="60"/>
      <c r="B169" s="61"/>
      <c r="C169" s="64"/>
      <c r="D169" s="63"/>
      <c r="E169" s="38" t="s">
        <v>109</v>
      </c>
      <c r="F169" s="33" t="s">
        <v>1</v>
      </c>
      <c r="G169" s="42"/>
      <c r="H169" s="43"/>
      <c r="I169" s="43">
        <v>50</v>
      </c>
      <c r="J169" s="36">
        <f t="shared" si="13"/>
        <v>50</v>
      </c>
      <c r="K169" s="37">
        <f t="shared" si="14"/>
        <v>50</v>
      </c>
      <c r="L169" s="31"/>
      <c r="M169" s="33" t="str">
        <f>+F169</f>
        <v>Item</v>
      </c>
      <c r="N169" s="42"/>
      <c r="O169" s="36">
        <f>+I169</f>
        <v>50</v>
      </c>
      <c r="P169" s="37">
        <f t="shared" si="15"/>
        <v>50</v>
      </c>
      <c r="Q169" s="54"/>
      <c r="S169" s="110" t="str">
        <f>+E169</f>
        <v>Caulk, staples, sundry materials</v>
      </c>
      <c r="T169" s="114">
        <f>+K169</f>
        <v>50</v>
      </c>
      <c r="U169" s="12"/>
      <c r="V169" s="12">
        <v>60</v>
      </c>
      <c r="W169" s="19">
        <f>ROUND(+IF(V169&gt;0,T169/V169,""),2)</f>
        <v>0.83</v>
      </c>
      <c r="X169" s="111"/>
    </row>
    <row r="170" spans="1:24" ht="12.75" hidden="1" outlineLevel="1">
      <c r="A170" s="60"/>
      <c r="B170" s="61"/>
      <c r="C170" s="64"/>
      <c r="D170" s="63"/>
      <c r="E170" s="38"/>
      <c r="F170" s="33"/>
      <c r="G170" s="42"/>
      <c r="H170" s="43"/>
      <c r="I170" s="43"/>
      <c r="J170" s="36">
        <f t="shared" si="13"/>
      </c>
      <c r="K170" s="37">
        <f t="shared" si="14"/>
      </c>
      <c r="L170" s="31"/>
      <c r="M170" s="33"/>
      <c r="N170" s="42"/>
      <c r="O170" s="36"/>
      <c r="P170" s="37">
        <f t="shared" si="15"/>
      </c>
      <c r="Q170" s="54"/>
      <c r="S170" s="110"/>
      <c r="T170" s="12"/>
      <c r="U170" s="12"/>
      <c r="V170" s="12"/>
      <c r="W170" s="19"/>
      <c r="X170" s="111"/>
    </row>
    <row r="171" spans="1:24" ht="12.75" hidden="1" outlineLevel="1">
      <c r="A171" s="60"/>
      <c r="B171" s="61"/>
      <c r="C171" s="64"/>
      <c r="D171" s="63"/>
      <c r="E171" s="38" t="s">
        <v>4</v>
      </c>
      <c r="F171" s="33">
        <v>4</v>
      </c>
      <c r="G171" s="42" t="s">
        <v>110</v>
      </c>
      <c r="H171" s="43">
        <v>8</v>
      </c>
      <c r="I171" s="43"/>
      <c r="J171" s="36">
        <f t="shared" si="13"/>
        <v>240</v>
      </c>
      <c r="K171" s="37">
        <f t="shared" si="14"/>
        <v>960</v>
      </c>
      <c r="L171" s="31" t="s">
        <v>111</v>
      </c>
      <c r="M171" s="33"/>
      <c r="N171" s="42"/>
      <c r="O171" s="36"/>
      <c r="P171" s="37">
        <f t="shared" si="15"/>
      </c>
      <c r="Q171" s="54"/>
      <c r="S171" s="110" t="str">
        <f>+E171</f>
        <v>Labour</v>
      </c>
      <c r="T171" s="114">
        <f>+K171</f>
        <v>960</v>
      </c>
      <c r="U171" s="12"/>
      <c r="V171" s="12">
        <v>60</v>
      </c>
      <c r="W171" s="19">
        <f>ROUND(+IF(V171&gt;0,T171/V171,""),2)</f>
        <v>16</v>
      </c>
      <c r="X171" s="111"/>
    </row>
    <row r="172" spans="1:24" ht="12.75" hidden="1" outlineLevel="1">
      <c r="A172" s="60"/>
      <c r="B172" s="61"/>
      <c r="C172" s="64"/>
      <c r="D172" s="63"/>
      <c r="E172" s="38"/>
      <c r="F172" s="33"/>
      <c r="G172" s="42"/>
      <c r="H172" s="43"/>
      <c r="I172" s="43"/>
      <c r="J172" s="36">
        <f t="shared" si="13"/>
      </c>
      <c r="K172" s="37">
        <f t="shared" si="14"/>
      </c>
      <c r="L172" s="31"/>
      <c r="M172" s="33"/>
      <c r="N172" s="42"/>
      <c r="O172" s="36"/>
      <c r="P172" s="37">
        <f t="shared" si="15"/>
      </c>
      <c r="Q172" s="54"/>
      <c r="S172" s="110"/>
      <c r="T172" s="12"/>
      <c r="U172" s="12"/>
      <c r="V172" s="12"/>
      <c r="W172" s="19"/>
      <c r="X172" s="111"/>
    </row>
    <row r="173" spans="1:24" ht="12.75" hidden="1" outlineLevel="1">
      <c r="A173" s="60"/>
      <c r="B173" s="61"/>
      <c r="C173" s="64"/>
      <c r="D173" s="63"/>
      <c r="E173" s="38" t="s">
        <v>112</v>
      </c>
      <c r="F173" s="33" t="s">
        <v>1</v>
      </c>
      <c r="G173" s="42"/>
      <c r="H173" s="43"/>
      <c r="I173" s="43"/>
      <c r="J173" s="36">
        <v>250</v>
      </c>
      <c r="K173" s="37">
        <f t="shared" si="14"/>
        <v>250</v>
      </c>
      <c r="L173" s="31"/>
      <c r="M173" s="33" t="s">
        <v>1</v>
      </c>
      <c r="N173" s="42"/>
      <c r="O173" s="36">
        <v>50</v>
      </c>
      <c r="P173" s="37">
        <f t="shared" si="15"/>
        <v>50</v>
      </c>
      <c r="Q173" s="54"/>
      <c r="S173" s="110" t="str">
        <f>+E173</f>
        <v>Allow for temporary boarding/ access</v>
      </c>
      <c r="T173" s="114">
        <f>+K173</f>
        <v>250</v>
      </c>
      <c r="U173" s="12"/>
      <c r="V173" s="12">
        <v>60</v>
      </c>
      <c r="W173" s="19">
        <f>ROUND(+IF(V173&gt;0,T173/V173,""),2)</f>
        <v>4.17</v>
      </c>
      <c r="X173" s="111"/>
    </row>
    <row r="174" spans="1:24" ht="12.75" hidden="1" outlineLevel="1">
      <c r="A174" s="60"/>
      <c r="B174" s="61"/>
      <c r="C174" s="64"/>
      <c r="D174" s="63"/>
      <c r="E174" s="38"/>
      <c r="F174" s="33"/>
      <c r="G174" s="42"/>
      <c r="H174" s="43"/>
      <c r="I174" s="43"/>
      <c r="J174" s="36"/>
      <c r="K174" s="37"/>
      <c r="L174" s="31"/>
      <c r="M174" s="33"/>
      <c r="N174" s="42"/>
      <c r="O174" s="36"/>
      <c r="P174" s="37"/>
      <c r="Q174" s="54"/>
      <c r="S174" s="110"/>
      <c r="T174" s="114"/>
      <c r="U174" s="12"/>
      <c r="V174" s="12"/>
      <c r="W174" s="19"/>
      <c r="X174" s="111"/>
    </row>
    <row r="175" spans="1:24" ht="12.75" hidden="1" outlineLevel="1">
      <c r="A175" s="60"/>
      <c r="B175" s="61"/>
      <c r="C175" s="64"/>
      <c r="D175" s="63"/>
      <c r="E175" s="38" t="s">
        <v>362</v>
      </c>
      <c r="F175" s="33">
        <v>10</v>
      </c>
      <c r="G175" s="34" t="s">
        <v>363</v>
      </c>
      <c r="H175" s="39"/>
      <c r="I175" s="39"/>
      <c r="J175" s="36">
        <f>SUM(K160:K174)</f>
        <v>1496.3056000000001</v>
      </c>
      <c r="K175" s="37">
        <f>+J175*F175%</f>
        <v>149.63056000000003</v>
      </c>
      <c r="L175" s="31"/>
      <c r="M175" s="33"/>
      <c r="N175" s="42"/>
      <c r="O175" s="36"/>
      <c r="P175" s="37"/>
      <c r="Q175" s="54"/>
      <c r="S175" s="110"/>
      <c r="T175" s="114"/>
      <c r="U175" s="12"/>
      <c r="V175" s="12"/>
      <c r="W175" s="19"/>
      <c r="X175" s="111"/>
    </row>
    <row r="176" spans="1:24" ht="12.75" hidden="1" outlineLevel="1">
      <c r="A176" s="60"/>
      <c r="B176" s="61"/>
      <c r="C176" s="64"/>
      <c r="D176" s="63"/>
      <c r="E176" s="38"/>
      <c r="F176" s="33"/>
      <c r="G176" s="42"/>
      <c r="H176" s="43"/>
      <c r="I176" s="43"/>
      <c r="J176" s="36"/>
      <c r="K176" s="37"/>
      <c r="L176" s="31"/>
      <c r="M176" s="33"/>
      <c r="N176" s="42"/>
      <c r="O176" s="36"/>
      <c r="P176" s="37"/>
      <c r="Q176" s="54"/>
      <c r="S176" s="110"/>
      <c r="T176" s="114"/>
      <c r="U176" s="12"/>
      <c r="V176" s="12"/>
      <c r="W176" s="19"/>
      <c r="X176" s="111"/>
    </row>
    <row r="177" spans="1:24" ht="12.75" collapsed="1">
      <c r="A177" s="60"/>
      <c r="B177" s="61"/>
      <c r="C177" s="64"/>
      <c r="D177" s="63"/>
      <c r="E177" s="38"/>
      <c r="F177" s="33"/>
      <c r="G177" s="42"/>
      <c r="H177" s="43"/>
      <c r="I177" s="43"/>
      <c r="J177" s="36">
        <f aca="true" t="shared" si="16" ref="J177:J184">IF(+I177+H177&gt;0,I177+(H177*labour),"")</f>
      </c>
      <c r="K177" s="37">
        <f>+IF(F177="item",J177,IF(F177&lt;&gt;0,F177*J177,""))</f>
      </c>
      <c r="L177" s="31"/>
      <c r="M177" s="33"/>
      <c r="N177" s="42"/>
      <c r="O177" s="36"/>
      <c r="P177" s="37">
        <f aca="true" t="shared" si="17" ref="P177:P185">+IF(M177="item",O177,IF(M177&lt;&gt;0,M177*O177,""))</f>
      </c>
      <c r="Q177" s="54"/>
      <c r="S177" s="110"/>
      <c r="T177" s="12"/>
      <c r="U177" s="12"/>
      <c r="V177" s="12"/>
      <c r="W177" s="19"/>
      <c r="X177" s="111"/>
    </row>
    <row r="178" spans="1:24" ht="12.75">
      <c r="A178" s="60"/>
      <c r="B178" s="61"/>
      <c r="C178" s="64"/>
      <c r="D178" s="63"/>
      <c r="E178" s="38"/>
      <c r="F178" s="33"/>
      <c r="G178" s="42"/>
      <c r="H178" s="43"/>
      <c r="I178" s="43"/>
      <c r="J178" s="36">
        <f t="shared" si="16"/>
      </c>
      <c r="K178" s="37">
        <f>+IF(F178="item",J178,IF(F178&lt;&gt;0,F178*J178,""))</f>
      </c>
      <c r="L178" s="31"/>
      <c r="M178" s="33"/>
      <c r="N178" s="42"/>
      <c r="O178" s="36"/>
      <c r="P178" s="37">
        <f t="shared" si="17"/>
      </c>
      <c r="Q178" s="54"/>
      <c r="S178" s="110"/>
      <c r="T178" s="12"/>
      <c r="U178" s="12"/>
      <c r="V178" s="12"/>
      <c r="W178" s="19"/>
      <c r="X178" s="111"/>
    </row>
    <row r="179" spans="1:24" ht="15.75">
      <c r="A179" s="60"/>
      <c r="B179" s="61"/>
      <c r="C179" s="64"/>
      <c r="D179" s="63"/>
      <c r="E179" s="78" t="s">
        <v>113</v>
      </c>
      <c r="F179" s="79"/>
      <c r="G179" s="80"/>
      <c r="H179" s="81"/>
      <c r="I179" s="81"/>
      <c r="J179" s="82">
        <f t="shared" si="16"/>
      </c>
      <c r="K179" s="83">
        <f>+IF(F179="item",J179,IF(F179&lt;&gt;0,F179*J179,""))</f>
      </c>
      <c r="L179" s="84"/>
      <c r="M179" s="79"/>
      <c r="N179" s="80"/>
      <c r="O179" s="82"/>
      <c r="P179" s="83">
        <f t="shared" si="17"/>
      </c>
      <c r="Q179" s="85"/>
      <c r="R179" s="89"/>
      <c r="S179" s="117"/>
      <c r="T179" s="118"/>
      <c r="U179" s="118"/>
      <c r="V179" s="118"/>
      <c r="W179" s="119"/>
      <c r="X179" s="120"/>
    </row>
    <row r="180" spans="1:24" ht="12.75">
      <c r="A180" s="60"/>
      <c r="B180" s="61"/>
      <c r="C180" s="64"/>
      <c r="D180" s="63"/>
      <c r="E180" s="38"/>
      <c r="F180" s="33"/>
      <c r="G180" s="42"/>
      <c r="H180" s="43"/>
      <c r="I180" s="43"/>
      <c r="J180" s="36">
        <f t="shared" si="16"/>
      </c>
      <c r="K180" s="37">
        <f>+IF(F180="item",J180,IF(F180&lt;&gt;0,F180*J180,""))</f>
      </c>
      <c r="L180" s="31"/>
      <c r="M180" s="33"/>
      <c r="N180" s="42"/>
      <c r="O180" s="36"/>
      <c r="P180" s="37">
        <f t="shared" si="17"/>
      </c>
      <c r="Q180" s="54"/>
      <c r="S180" s="110"/>
      <c r="T180" s="12"/>
      <c r="U180" s="12"/>
      <c r="V180" s="12"/>
      <c r="W180" s="19"/>
      <c r="X180" s="111"/>
    </row>
    <row r="181" spans="1:24" ht="25.5">
      <c r="A181" s="60"/>
      <c r="B181" s="61"/>
      <c r="C181" s="64"/>
      <c r="D181" s="63"/>
      <c r="E181" s="77" t="s">
        <v>114</v>
      </c>
      <c r="F181" s="33"/>
      <c r="G181" s="42"/>
      <c r="H181" s="43"/>
      <c r="I181" s="43"/>
      <c r="J181" s="36">
        <f t="shared" si="16"/>
      </c>
      <c r="K181" s="53">
        <f>SUM(K183:K187)</f>
        <v>137.53740000000002</v>
      </c>
      <c r="L181" s="31"/>
      <c r="M181" s="72"/>
      <c r="N181" s="73"/>
      <c r="O181" s="74"/>
      <c r="P181" s="75">
        <f t="shared" si="17"/>
      </c>
      <c r="Q181" s="76"/>
      <c r="S181" s="110"/>
      <c r="T181" s="12"/>
      <c r="U181" s="12"/>
      <c r="V181" s="12"/>
      <c r="W181" s="112">
        <f>SUM(W182:W185)</f>
        <v>5</v>
      </c>
      <c r="X181" s="111"/>
    </row>
    <row r="182" spans="1:24" ht="12.75">
      <c r="A182" s="60"/>
      <c r="B182" s="61"/>
      <c r="C182" s="64"/>
      <c r="D182" s="63"/>
      <c r="E182" s="38"/>
      <c r="F182" s="33"/>
      <c r="G182" s="42"/>
      <c r="H182" s="43"/>
      <c r="I182" s="43"/>
      <c r="J182" s="36">
        <f t="shared" si="16"/>
      </c>
      <c r="K182" s="37">
        <f>+IF(F182="item",J182,IF(F182&lt;&gt;0,F182*J182,""))</f>
      </c>
      <c r="L182" s="31"/>
      <c r="M182" s="72"/>
      <c r="N182" s="73"/>
      <c r="O182" s="74"/>
      <c r="P182" s="75">
        <f t="shared" si="17"/>
      </c>
      <c r="Q182" s="76"/>
      <c r="S182" s="113" t="s">
        <v>257</v>
      </c>
      <c r="T182" s="12"/>
      <c r="U182" s="12"/>
      <c r="V182" s="12"/>
      <c r="W182" s="19"/>
      <c r="X182" s="111"/>
    </row>
    <row r="183" spans="1:24" ht="12.75" hidden="1" outlineLevel="1">
      <c r="A183" s="60"/>
      <c r="B183" s="61"/>
      <c r="C183" s="64"/>
      <c r="D183" s="63"/>
      <c r="E183" s="38" t="s">
        <v>115</v>
      </c>
      <c r="F183" s="33">
        <v>2</v>
      </c>
      <c r="G183" s="42" t="s">
        <v>8</v>
      </c>
      <c r="H183" s="43">
        <v>1</v>
      </c>
      <c r="I183" s="43">
        <f>PIR</f>
        <v>30.017000000000003</v>
      </c>
      <c r="J183" s="36">
        <f t="shared" si="16"/>
        <v>60.017</v>
      </c>
      <c r="K183" s="37">
        <f>+IF(F183="item",J183,IF(F183&lt;&gt;0,F183*J183,""))</f>
        <v>120.034</v>
      </c>
      <c r="L183" s="31" t="s">
        <v>118</v>
      </c>
      <c r="M183" s="72"/>
      <c r="N183" s="73"/>
      <c r="O183" s="74"/>
      <c r="P183" s="75">
        <f t="shared" si="17"/>
      </c>
      <c r="Q183" s="76"/>
      <c r="S183" s="110" t="str">
        <f>+E183</f>
        <v>Timeguard ZV810</v>
      </c>
      <c r="T183" s="114">
        <f>+K183</f>
        <v>120.034</v>
      </c>
      <c r="U183" s="12"/>
      <c r="V183" s="12">
        <v>25</v>
      </c>
      <c r="W183" s="19">
        <f>ROUND(+IF(V183&gt;0,T183/V183,""),2)</f>
        <v>4.8</v>
      </c>
      <c r="X183" s="111"/>
    </row>
    <row r="184" spans="1:24" ht="12.75" hidden="1" outlineLevel="1">
      <c r="A184" s="60"/>
      <c r="B184" s="61"/>
      <c r="C184" s="64"/>
      <c r="D184" s="63"/>
      <c r="E184" s="38"/>
      <c r="F184" s="33"/>
      <c r="G184" s="42"/>
      <c r="H184" s="43"/>
      <c r="I184" s="43"/>
      <c r="J184" s="36">
        <f t="shared" si="16"/>
      </c>
      <c r="K184" s="37">
        <f>+IF(F184="item",J184,IF(F184&lt;&gt;0,F184*J184,""))</f>
      </c>
      <c r="L184" s="31"/>
      <c r="M184" s="72"/>
      <c r="N184" s="73"/>
      <c r="O184" s="74"/>
      <c r="P184" s="75">
        <f t="shared" si="17"/>
      </c>
      <c r="Q184" s="76"/>
      <c r="S184" s="110"/>
      <c r="T184" s="12"/>
      <c r="U184" s="12"/>
      <c r="V184" s="12"/>
      <c r="W184" s="19"/>
      <c r="X184" s="111"/>
    </row>
    <row r="185" spans="1:24" ht="12.75" hidden="1" outlineLevel="1">
      <c r="A185" s="60"/>
      <c r="B185" s="61"/>
      <c r="C185" s="64"/>
      <c r="D185" s="63"/>
      <c r="E185" s="38" t="s">
        <v>7</v>
      </c>
      <c r="F185" s="33" t="s">
        <v>1</v>
      </c>
      <c r="G185" s="42"/>
      <c r="H185" s="43"/>
      <c r="I185" s="43"/>
      <c r="J185" s="36">
        <v>5</v>
      </c>
      <c r="K185" s="37">
        <f>+IF(F185="item",J185,IF(F185&lt;&gt;0,F185*J185,""))</f>
        <v>5</v>
      </c>
      <c r="L185" s="31"/>
      <c r="M185" s="72"/>
      <c r="N185" s="73"/>
      <c r="O185" s="74"/>
      <c r="P185" s="75">
        <f t="shared" si="17"/>
      </c>
      <c r="Q185" s="76"/>
      <c r="S185" s="110" t="str">
        <f>+E185</f>
        <v>Delivery</v>
      </c>
      <c r="T185" s="114">
        <f>+K185</f>
        <v>5</v>
      </c>
      <c r="U185" s="12"/>
      <c r="V185" s="12">
        <v>25</v>
      </c>
      <c r="W185" s="19">
        <f>ROUND(+IF(V185&gt;0,T185/V185,""),2)</f>
        <v>0.2</v>
      </c>
      <c r="X185" s="111"/>
    </row>
    <row r="186" spans="1:24" ht="12.75" hidden="1" outlineLevel="1">
      <c r="A186" s="60"/>
      <c r="B186" s="61"/>
      <c r="C186" s="64"/>
      <c r="D186" s="63"/>
      <c r="E186" s="38"/>
      <c r="F186" s="33"/>
      <c r="G186" s="42"/>
      <c r="H186" s="43"/>
      <c r="I186" s="43"/>
      <c r="J186" s="36"/>
      <c r="K186" s="37"/>
      <c r="L186" s="31"/>
      <c r="M186" s="72"/>
      <c r="N186" s="73"/>
      <c r="O186" s="74"/>
      <c r="P186" s="75"/>
      <c r="Q186" s="76"/>
      <c r="S186" s="110"/>
      <c r="T186" s="114"/>
      <c r="U186" s="12"/>
      <c r="V186" s="12"/>
      <c r="W186" s="19"/>
      <c r="X186" s="111"/>
    </row>
    <row r="187" spans="1:24" ht="12.75" hidden="1" outlineLevel="1">
      <c r="A187" s="60"/>
      <c r="B187" s="61"/>
      <c r="C187" s="64"/>
      <c r="D187" s="63"/>
      <c r="E187" s="38" t="s">
        <v>362</v>
      </c>
      <c r="F187" s="33">
        <v>10</v>
      </c>
      <c r="G187" s="34" t="s">
        <v>363</v>
      </c>
      <c r="H187" s="39"/>
      <c r="I187" s="39"/>
      <c r="J187" s="36">
        <f>SUM(K183:K186)</f>
        <v>125.034</v>
      </c>
      <c r="K187" s="37">
        <f>+J187*F187%</f>
        <v>12.503400000000001</v>
      </c>
      <c r="L187" s="31"/>
      <c r="M187" s="72"/>
      <c r="N187" s="73"/>
      <c r="O187" s="74"/>
      <c r="P187" s="75"/>
      <c r="Q187" s="76"/>
      <c r="S187" s="110"/>
      <c r="T187" s="114"/>
      <c r="U187" s="12"/>
      <c r="V187" s="12"/>
      <c r="W187" s="19"/>
      <c r="X187" s="111"/>
    </row>
    <row r="188" spans="1:24" ht="12.75" collapsed="1">
      <c r="A188" s="60"/>
      <c r="B188" s="61"/>
      <c r="C188" s="64"/>
      <c r="D188" s="63"/>
      <c r="E188" s="38"/>
      <c r="F188" s="33"/>
      <c r="G188" s="42"/>
      <c r="H188" s="43"/>
      <c r="I188" s="43"/>
      <c r="J188" s="36">
        <f>IF(+I188+H188&gt;0,I188+(H188*labour),"")</f>
      </c>
      <c r="K188" s="37">
        <f>+IF(F188="item",J188,IF(F188&lt;&gt;0,F188*J188,""))</f>
      </c>
      <c r="L188" s="31"/>
      <c r="M188" s="33"/>
      <c r="N188" s="42"/>
      <c r="O188" s="36"/>
      <c r="P188" s="37">
        <f>+IF(M188="item",O188,IF(M188&lt;&gt;0,M188*O188,""))</f>
      </c>
      <c r="Q188" s="54"/>
      <c r="S188" s="110"/>
      <c r="T188" s="12"/>
      <c r="U188" s="12"/>
      <c r="V188" s="12"/>
      <c r="W188" s="19"/>
      <c r="X188" s="111"/>
    </row>
    <row r="189" spans="1:24" ht="12.75">
      <c r="A189" s="60"/>
      <c r="B189" s="61"/>
      <c r="C189" s="64"/>
      <c r="D189" s="63"/>
      <c r="E189" s="38"/>
      <c r="F189" s="33"/>
      <c r="G189" s="42"/>
      <c r="H189" s="43"/>
      <c r="I189" s="43"/>
      <c r="J189" s="36">
        <f>IF(+I189+H189&gt;0,I189+(H189*labour),"")</f>
      </c>
      <c r="K189" s="37">
        <f>+IF(F189="item",J189,IF(F189&lt;&gt;0,F189*J189,""))</f>
      </c>
      <c r="L189" s="31"/>
      <c r="M189" s="33"/>
      <c r="N189" s="42"/>
      <c r="O189" s="36"/>
      <c r="P189" s="37">
        <f>+IF(M189="item",O189,IF(M189&lt;&gt;0,M189*O189,""))</f>
      </c>
      <c r="Q189" s="54"/>
      <c r="S189" s="110"/>
      <c r="T189" s="12"/>
      <c r="U189" s="12"/>
      <c r="V189" s="12"/>
      <c r="W189" s="19"/>
      <c r="X189" s="111"/>
    </row>
    <row r="190" spans="1:24" ht="25.5">
      <c r="A190" s="60"/>
      <c r="B190" s="61"/>
      <c r="C190" s="64"/>
      <c r="D190" s="63"/>
      <c r="E190" s="139" t="s">
        <v>120</v>
      </c>
      <c r="F190" s="72"/>
      <c r="G190" s="73"/>
      <c r="H190" s="140"/>
      <c r="I190" s="140"/>
      <c r="J190" s="74">
        <f>IF(+I190+H190&gt;0,I190+(H190*labour),"")</f>
      </c>
      <c r="K190" s="75">
        <f>+IF(F190="item",J190,IF(F190&lt;&gt;0,F190*J190,""))</f>
      </c>
      <c r="L190" s="141" t="s">
        <v>322</v>
      </c>
      <c r="M190" s="72"/>
      <c r="N190" s="73"/>
      <c r="O190" s="74"/>
      <c r="P190" s="75">
        <f>+IF(M190="item",O190,IF(M190&lt;&gt;0,M190*O190,""))</f>
      </c>
      <c r="Q190" s="76"/>
      <c r="S190" s="110"/>
      <c r="T190" s="12"/>
      <c r="U190" s="12"/>
      <c r="V190" s="12"/>
      <c r="W190" s="112"/>
      <c r="X190" s="116" t="s">
        <v>265</v>
      </c>
    </row>
    <row r="191" spans="1:24" ht="12.75">
      <c r="A191" s="60"/>
      <c r="B191" s="61"/>
      <c r="C191" s="64"/>
      <c r="D191" s="63"/>
      <c r="E191" s="44"/>
      <c r="F191" s="33"/>
      <c r="G191" s="42"/>
      <c r="H191" s="43"/>
      <c r="I191" s="43"/>
      <c r="J191" s="36">
        <f>IF(+I191+H191&gt;0,I191+(H191*labour),"")</f>
      </c>
      <c r="K191" s="37">
        <f>+IF(F191="item",J191,IF(F191&lt;&gt;0,F191*J191,""))</f>
      </c>
      <c r="L191" s="31"/>
      <c r="M191" s="33"/>
      <c r="N191" s="42"/>
      <c r="O191" s="36"/>
      <c r="P191" s="37">
        <f>+IF(M191="item",O191,IF(M191&lt;&gt;0,M191*O191,""))</f>
      </c>
      <c r="Q191" s="54"/>
      <c r="S191" s="113"/>
      <c r="T191" s="12"/>
      <c r="U191" s="12"/>
      <c r="V191" s="12"/>
      <c r="W191" s="19"/>
      <c r="X191" s="111"/>
    </row>
    <row r="192" spans="1:24" ht="12.75">
      <c r="A192" s="60"/>
      <c r="B192" s="61"/>
      <c r="C192" s="64"/>
      <c r="D192" s="63"/>
      <c r="E192" s="44"/>
      <c r="F192" s="33"/>
      <c r="G192" s="42"/>
      <c r="H192" s="43"/>
      <c r="I192" s="43"/>
      <c r="J192" s="36">
        <f aca="true" t="shared" si="18" ref="J192:J198">IF(+I192+H192&gt;0,I192+(H192*labour),"")</f>
      </c>
      <c r="K192" s="37">
        <f>+IF(F192="item",J192,IF(F192&lt;&gt;0,F192*J192,""))</f>
      </c>
      <c r="L192" s="31"/>
      <c r="M192" s="33"/>
      <c r="N192" s="42"/>
      <c r="O192" s="36"/>
      <c r="P192" s="37">
        <f aca="true" t="shared" si="19" ref="P192:P203">+IF(M192="item",O192,IF(M192&lt;&gt;0,M192*O192,""))</f>
      </c>
      <c r="Q192" s="54"/>
      <c r="S192" s="110"/>
      <c r="T192" s="12"/>
      <c r="U192" s="12"/>
      <c r="V192" s="12"/>
      <c r="W192" s="19"/>
      <c r="X192" s="111"/>
    </row>
    <row r="193" spans="1:24" ht="12.75">
      <c r="A193" s="60"/>
      <c r="B193" s="61"/>
      <c r="C193" s="64"/>
      <c r="D193" s="63"/>
      <c r="E193" s="77" t="s">
        <v>126</v>
      </c>
      <c r="F193" s="33"/>
      <c r="G193" s="42"/>
      <c r="H193" s="43"/>
      <c r="I193" s="43"/>
      <c r="J193" s="36">
        <f t="shared" si="18"/>
      </c>
      <c r="K193" s="53">
        <f>SUM(K194:K205)</f>
        <v>852.0353600000001</v>
      </c>
      <c r="L193" s="31"/>
      <c r="M193" s="72"/>
      <c r="N193" s="73"/>
      <c r="O193" s="74"/>
      <c r="P193" s="75">
        <f t="shared" si="19"/>
      </c>
      <c r="Q193" s="76"/>
      <c r="S193" s="110"/>
      <c r="T193" s="12"/>
      <c r="U193" s="12"/>
      <c r="V193" s="12"/>
      <c r="W193" s="112">
        <f>SUM(W194:W203)</f>
        <v>12.899999999999999</v>
      </c>
      <c r="X193" s="111"/>
    </row>
    <row r="194" spans="1:24" ht="12.75">
      <c r="A194" s="60"/>
      <c r="B194" s="61"/>
      <c r="C194" s="64"/>
      <c r="D194" s="63"/>
      <c r="E194" s="44"/>
      <c r="F194" s="33"/>
      <c r="G194" s="42"/>
      <c r="H194" s="43"/>
      <c r="I194" s="43"/>
      <c r="J194" s="36">
        <f t="shared" si="18"/>
      </c>
      <c r="K194" s="37">
        <f aca="true" t="shared" si="20" ref="K194:K203">+IF(F194="item",J194,IF(F194&lt;&gt;0,F194*J194,""))</f>
      </c>
      <c r="L194" s="31"/>
      <c r="M194" s="72"/>
      <c r="N194" s="73"/>
      <c r="O194" s="74"/>
      <c r="P194" s="75">
        <f t="shared" si="19"/>
      </c>
      <c r="Q194" s="76"/>
      <c r="S194" s="113" t="s">
        <v>257</v>
      </c>
      <c r="T194" s="12"/>
      <c r="U194" s="12"/>
      <c r="V194" s="12"/>
      <c r="W194" s="19"/>
      <c r="X194" s="111"/>
    </row>
    <row r="195" spans="1:24" ht="12.75" hidden="1" outlineLevel="1">
      <c r="A195" s="60"/>
      <c r="B195" s="61"/>
      <c r="C195" s="64"/>
      <c r="D195" s="63"/>
      <c r="E195" s="44" t="s">
        <v>127</v>
      </c>
      <c r="F195" s="33" t="s">
        <v>1</v>
      </c>
      <c r="G195" s="42"/>
      <c r="H195" s="43">
        <v>4</v>
      </c>
      <c r="I195" s="43">
        <v>50</v>
      </c>
      <c r="J195" s="36">
        <f t="shared" si="18"/>
        <v>170</v>
      </c>
      <c r="K195" s="37">
        <f t="shared" si="20"/>
        <v>170</v>
      </c>
      <c r="L195" s="31"/>
      <c r="M195" s="72"/>
      <c r="N195" s="73"/>
      <c r="O195" s="74"/>
      <c r="P195" s="75">
        <f t="shared" si="19"/>
      </c>
      <c r="Q195" s="76"/>
      <c r="S195" s="110" t="str">
        <f>+E195</f>
        <v>Sheepswool packed under skirtings</v>
      </c>
      <c r="T195" s="114">
        <f>+K195</f>
        <v>170</v>
      </c>
      <c r="U195" s="12"/>
      <c r="V195" s="12">
        <v>60</v>
      </c>
      <c r="W195" s="19">
        <f>ROUND(+IF(V195&gt;0,T195/V195,""),2)</f>
        <v>2.83</v>
      </c>
      <c r="X195" s="111"/>
    </row>
    <row r="196" spans="1:24" ht="12.75" hidden="1" outlineLevel="1">
      <c r="A196" s="60"/>
      <c r="B196" s="61"/>
      <c r="C196" s="64"/>
      <c r="D196" s="63"/>
      <c r="E196" s="44"/>
      <c r="F196" s="33"/>
      <c r="G196" s="42"/>
      <c r="H196" s="43"/>
      <c r="I196" s="43"/>
      <c r="J196" s="36">
        <f t="shared" si="18"/>
      </c>
      <c r="K196" s="37">
        <f t="shared" si="20"/>
      </c>
      <c r="L196" s="31"/>
      <c r="M196" s="72"/>
      <c r="N196" s="73"/>
      <c r="O196" s="74"/>
      <c r="P196" s="75">
        <f t="shared" si="19"/>
      </c>
      <c r="Q196" s="76"/>
      <c r="S196" s="110"/>
      <c r="T196" s="12"/>
      <c r="U196" s="12"/>
      <c r="V196" s="12"/>
      <c r="W196" s="19"/>
      <c r="X196" s="111"/>
    </row>
    <row r="197" spans="1:24" ht="12.75" hidden="1" outlineLevel="1">
      <c r="A197" s="60"/>
      <c r="B197" s="61"/>
      <c r="C197" s="64"/>
      <c r="D197" s="63"/>
      <c r="E197" s="44" t="s">
        <v>128</v>
      </c>
      <c r="F197" s="33">
        <f>+F101</f>
        <v>44</v>
      </c>
      <c r="G197" s="42" t="s">
        <v>35</v>
      </c>
      <c r="H197" s="43">
        <v>0.1</v>
      </c>
      <c r="I197" s="43">
        <f>hardboard</f>
        <v>2.9904</v>
      </c>
      <c r="J197" s="36">
        <f t="shared" si="18"/>
        <v>5.9904</v>
      </c>
      <c r="K197" s="37">
        <f t="shared" si="20"/>
        <v>263.5776</v>
      </c>
      <c r="L197" s="31"/>
      <c r="M197" s="72"/>
      <c r="N197" s="73"/>
      <c r="O197" s="74"/>
      <c r="P197" s="75">
        <f t="shared" si="19"/>
      </c>
      <c r="Q197" s="76"/>
      <c r="S197" s="110" t="str">
        <f>+E197</f>
        <v>Tempered hardboard to boards</v>
      </c>
      <c r="T197" s="114">
        <f>+K197</f>
        <v>263.5776</v>
      </c>
      <c r="U197" s="12"/>
      <c r="V197" s="12">
        <v>60</v>
      </c>
      <c r="W197" s="19">
        <f>ROUND(+IF(V197&gt;0,T197/V197,""),2)</f>
        <v>4.39</v>
      </c>
      <c r="X197" s="111"/>
    </row>
    <row r="198" spans="1:24" ht="12.75" hidden="1" outlineLevel="1">
      <c r="A198" s="60"/>
      <c r="B198" s="61"/>
      <c r="C198" s="64"/>
      <c r="D198" s="63"/>
      <c r="E198" s="44"/>
      <c r="F198" s="33"/>
      <c r="G198" s="42"/>
      <c r="H198" s="43"/>
      <c r="I198" s="43"/>
      <c r="J198" s="36">
        <f t="shared" si="18"/>
      </c>
      <c r="K198" s="37">
        <f t="shared" si="20"/>
      </c>
      <c r="L198" s="31"/>
      <c r="M198" s="72"/>
      <c r="N198" s="73"/>
      <c r="O198" s="74"/>
      <c r="P198" s="75">
        <f t="shared" si="19"/>
      </c>
      <c r="Q198" s="76"/>
      <c r="S198" s="110"/>
      <c r="T198" s="12"/>
      <c r="U198" s="12"/>
      <c r="V198" s="12"/>
      <c r="W198" s="19"/>
      <c r="X198" s="111"/>
    </row>
    <row r="199" spans="1:24" ht="12.75" hidden="1" outlineLevel="1">
      <c r="A199" s="60"/>
      <c r="B199" s="61"/>
      <c r="C199" s="64"/>
      <c r="D199" s="63"/>
      <c r="E199" s="44" t="s">
        <v>125</v>
      </c>
      <c r="F199" s="33" t="s">
        <v>1</v>
      </c>
      <c r="G199" s="42"/>
      <c r="H199" s="43"/>
      <c r="I199" s="43"/>
      <c r="J199" s="36">
        <v>50</v>
      </c>
      <c r="K199" s="37">
        <f t="shared" si="20"/>
        <v>50</v>
      </c>
      <c r="L199" s="31"/>
      <c r="M199" s="72"/>
      <c r="N199" s="73"/>
      <c r="O199" s="74"/>
      <c r="P199" s="75">
        <f t="shared" si="19"/>
      </c>
      <c r="Q199" s="76"/>
      <c r="S199" s="110" t="str">
        <f>+E199</f>
        <v>Sundry materials/plant</v>
      </c>
      <c r="T199" s="114">
        <f>+K199</f>
        <v>50</v>
      </c>
      <c r="U199" s="12"/>
      <c r="V199" s="12">
        <v>60</v>
      </c>
      <c r="W199" s="19">
        <f>ROUND(+IF(V199&gt;0,T199/V199,""),2)</f>
        <v>0.83</v>
      </c>
      <c r="X199" s="111"/>
    </row>
    <row r="200" spans="1:24" ht="12.75" hidden="1" outlineLevel="1">
      <c r="A200" s="60"/>
      <c r="B200" s="61"/>
      <c r="C200" s="64"/>
      <c r="D200" s="63"/>
      <c r="E200" s="44"/>
      <c r="F200" s="33"/>
      <c r="G200" s="42"/>
      <c r="H200" s="43"/>
      <c r="I200" s="43"/>
      <c r="J200" s="36">
        <f>IF(+I200+H200&gt;0,I200+(H200*labour),"")</f>
      </c>
      <c r="K200" s="37">
        <f t="shared" si="20"/>
      </c>
      <c r="L200" s="31"/>
      <c r="M200" s="72"/>
      <c r="N200" s="73"/>
      <c r="O200" s="74"/>
      <c r="P200" s="75">
        <f t="shared" si="19"/>
      </c>
      <c r="Q200" s="76"/>
      <c r="S200" s="110"/>
      <c r="T200" s="12"/>
      <c r="U200" s="12"/>
      <c r="V200" s="12"/>
      <c r="W200" s="19"/>
      <c r="X200" s="111"/>
    </row>
    <row r="201" spans="1:24" ht="12.75" hidden="1" outlineLevel="1">
      <c r="A201" s="60"/>
      <c r="B201" s="61"/>
      <c r="C201" s="64"/>
      <c r="D201" s="63"/>
      <c r="E201" s="44" t="s">
        <v>131</v>
      </c>
      <c r="F201" s="33">
        <f>+F197</f>
        <v>44</v>
      </c>
      <c r="G201" s="42" t="s">
        <v>35</v>
      </c>
      <c r="H201" s="43"/>
      <c r="I201" s="43"/>
      <c r="J201" s="36">
        <f>+J101</f>
        <v>6</v>
      </c>
      <c r="K201" s="37">
        <f t="shared" si="20"/>
        <v>264</v>
      </c>
      <c r="L201" s="31"/>
      <c r="M201" s="72"/>
      <c r="N201" s="73"/>
      <c r="O201" s="74"/>
      <c r="P201" s="75">
        <f t="shared" si="19"/>
      </c>
      <c r="Q201" s="76"/>
      <c r="S201" s="110" t="str">
        <f>+E201</f>
        <v>Lifting/ relaying carpet</v>
      </c>
      <c r="T201" s="114">
        <f>+K201</f>
        <v>264</v>
      </c>
      <c r="U201" s="12"/>
      <c r="V201" s="12">
        <v>60</v>
      </c>
      <c r="W201" s="19">
        <f>ROUND(+IF(V201&gt;0,T201/V201,""),2)</f>
        <v>4.4</v>
      </c>
      <c r="X201" s="111"/>
    </row>
    <row r="202" spans="1:24" ht="12.75" hidden="1" outlineLevel="1">
      <c r="A202" s="60"/>
      <c r="B202" s="61"/>
      <c r="C202" s="64"/>
      <c r="D202" s="63"/>
      <c r="E202" s="44"/>
      <c r="F202" s="33"/>
      <c r="G202" s="42"/>
      <c r="H202" s="43"/>
      <c r="I202" s="43"/>
      <c r="J202" s="36">
        <f>IF(+I202+H202&gt;0,I202+(H202*labour),"")</f>
      </c>
      <c r="K202" s="37">
        <f t="shared" si="20"/>
      </c>
      <c r="L202" s="31"/>
      <c r="M202" s="72"/>
      <c r="N202" s="73"/>
      <c r="O202" s="74"/>
      <c r="P202" s="75">
        <f t="shared" si="19"/>
      </c>
      <c r="Q202" s="76"/>
      <c r="S202" s="110"/>
      <c r="T202" s="12"/>
      <c r="U202" s="12"/>
      <c r="V202" s="12"/>
      <c r="W202" s="19"/>
      <c r="X202" s="111"/>
    </row>
    <row r="203" spans="1:24" ht="12.75" hidden="1" outlineLevel="1">
      <c r="A203" s="60"/>
      <c r="B203" s="61"/>
      <c r="C203" s="64"/>
      <c r="D203" s="63"/>
      <c r="E203" s="44" t="s">
        <v>132</v>
      </c>
      <c r="F203" s="33">
        <f>+F109</f>
        <v>54</v>
      </c>
      <c r="G203" s="42" t="s">
        <v>108</v>
      </c>
      <c r="H203" s="43"/>
      <c r="I203" s="90">
        <f>+I109</f>
        <v>0.5</v>
      </c>
      <c r="J203" s="39">
        <f>IF(+I203+H203&gt;0,I203+(H203*labour),"")</f>
        <v>0.5</v>
      </c>
      <c r="K203" s="37">
        <f t="shared" si="20"/>
        <v>27</v>
      </c>
      <c r="L203" s="31"/>
      <c r="M203" s="72"/>
      <c r="N203" s="73"/>
      <c r="O203" s="74"/>
      <c r="P203" s="75">
        <f t="shared" si="19"/>
      </c>
      <c r="Q203" s="76"/>
      <c r="S203" s="110" t="str">
        <f>+E203</f>
        <v>Grippers</v>
      </c>
      <c r="T203" s="114">
        <f>+K203</f>
        <v>27</v>
      </c>
      <c r="U203" s="12"/>
      <c r="V203" s="12">
        <v>60</v>
      </c>
      <c r="W203" s="19">
        <f>ROUND(+IF(V203&gt;0,T203/V203,""),2)</f>
        <v>0.45</v>
      </c>
      <c r="X203" s="111"/>
    </row>
    <row r="204" spans="1:24" ht="12.75" hidden="1" outlineLevel="1">
      <c r="A204" s="60"/>
      <c r="B204" s="61"/>
      <c r="C204" s="64"/>
      <c r="D204" s="63"/>
      <c r="E204" s="44"/>
      <c r="F204" s="33"/>
      <c r="G204" s="42"/>
      <c r="H204" s="43"/>
      <c r="I204" s="90"/>
      <c r="J204" s="39"/>
      <c r="K204" s="37"/>
      <c r="L204" s="31"/>
      <c r="M204" s="72"/>
      <c r="N204" s="73"/>
      <c r="O204" s="74"/>
      <c r="P204" s="75"/>
      <c r="Q204" s="76"/>
      <c r="S204" s="110"/>
      <c r="T204" s="114"/>
      <c r="U204" s="12"/>
      <c r="V204" s="12"/>
      <c r="W204" s="19"/>
      <c r="X204" s="111"/>
    </row>
    <row r="205" spans="1:24" ht="12.75" hidden="1" outlineLevel="1">
      <c r="A205" s="60"/>
      <c r="B205" s="61"/>
      <c r="C205" s="64"/>
      <c r="D205" s="63"/>
      <c r="E205" s="38" t="s">
        <v>362</v>
      </c>
      <c r="F205" s="33">
        <v>10</v>
      </c>
      <c r="G205" s="34" t="s">
        <v>363</v>
      </c>
      <c r="H205" s="39"/>
      <c r="I205" s="164"/>
      <c r="J205" s="39">
        <f>SUM(K195:K204)</f>
        <v>774.5776000000001</v>
      </c>
      <c r="K205" s="37">
        <f>+J205*F205%</f>
        <v>77.45776000000001</v>
      </c>
      <c r="L205" s="31"/>
      <c r="M205" s="72"/>
      <c r="N205" s="73"/>
      <c r="O205" s="74"/>
      <c r="P205" s="75"/>
      <c r="Q205" s="76"/>
      <c r="S205" s="110"/>
      <c r="T205" s="114"/>
      <c r="U205" s="12"/>
      <c r="V205" s="12"/>
      <c r="W205" s="19"/>
      <c r="X205" s="111"/>
    </row>
    <row r="206" spans="1:24" ht="12.75" collapsed="1">
      <c r="A206" s="60"/>
      <c r="B206" s="61"/>
      <c r="C206" s="64"/>
      <c r="D206" s="63"/>
      <c r="E206" s="44"/>
      <c r="F206" s="33"/>
      <c r="G206" s="42"/>
      <c r="H206" s="43"/>
      <c r="I206" s="43"/>
      <c r="J206" s="36">
        <f>IF(+I206+H206&gt;0,I206+(H206*labour),"")</f>
      </c>
      <c r="K206" s="37">
        <f>+IF(F206="item",J206,IF(F206&lt;&gt;0,F206*J206,""))</f>
      </c>
      <c r="L206" s="31"/>
      <c r="M206" s="33"/>
      <c r="N206" s="42"/>
      <c r="O206" s="36"/>
      <c r="P206" s="37">
        <f>+IF(M206="item",O206,IF(M206&lt;&gt;0,M206*O206,""))</f>
      </c>
      <c r="Q206" s="54"/>
      <c r="S206" s="110"/>
      <c r="T206" s="12"/>
      <c r="U206" s="12"/>
      <c r="V206" s="12"/>
      <c r="W206" s="19"/>
      <c r="X206" s="111"/>
    </row>
    <row r="207" spans="1:24" ht="12.75">
      <c r="A207" s="60"/>
      <c r="B207" s="61"/>
      <c r="C207" s="64"/>
      <c r="D207" s="63"/>
      <c r="E207" s="44"/>
      <c r="F207" s="33"/>
      <c r="G207" s="42"/>
      <c r="H207" s="43"/>
      <c r="I207" s="43"/>
      <c r="J207" s="36">
        <f>IF(+I207+H207&gt;0,I207+(H207*labour),"")</f>
      </c>
      <c r="K207" s="37">
        <f>+IF(F207="item",J207,IF(F207&lt;&gt;0,F207*J207,""))</f>
      </c>
      <c r="L207" s="31"/>
      <c r="M207" s="33"/>
      <c r="N207" s="42"/>
      <c r="O207" s="36"/>
      <c r="P207" s="37">
        <f>+IF(M207="item",O207,IF(M207&lt;&gt;0,M207*O207,""))</f>
      </c>
      <c r="Q207" s="54"/>
      <c r="S207" s="110"/>
      <c r="T207" s="12"/>
      <c r="U207" s="12"/>
      <c r="V207" s="12"/>
      <c r="W207" s="19"/>
      <c r="X207" s="111"/>
    </row>
    <row r="208" spans="1:24" s="151" customFormat="1" ht="25.5" customHeight="1">
      <c r="A208" s="143"/>
      <c r="B208" s="144"/>
      <c r="C208" s="86"/>
      <c r="D208" s="87"/>
      <c r="E208" s="77" t="s">
        <v>428</v>
      </c>
      <c r="F208" s="45"/>
      <c r="G208" s="42"/>
      <c r="H208" s="43"/>
      <c r="I208" s="43"/>
      <c r="J208" s="147">
        <f>IF(+I208+H208&gt;0,I208+(H208*labour),"")</f>
      </c>
      <c r="K208" s="169">
        <f>SUM(K210:K224)</f>
        <v>1648.3333333333335</v>
      </c>
      <c r="L208" s="149"/>
      <c r="M208" s="45"/>
      <c r="N208" s="42"/>
      <c r="O208" s="147"/>
      <c r="P208" s="148">
        <f>+IF(M208="item",O208,IF(M208&lt;&gt;0,M208*O208,""))</f>
      </c>
      <c r="Q208" s="150"/>
      <c r="S208" s="152"/>
      <c r="T208" s="153"/>
      <c r="U208" s="153"/>
      <c r="V208" s="153"/>
      <c r="W208" s="154"/>
      <c r="X208" s="167"/>
    </row>
    <row r="209" spans="1:24" ht="12.75" hidden="1" outlineLevel="1">
      <c r="A209" s="60"/>
      <c r="B209" s="61"/>
      <c r="C209" s="64"/>
      <c r="D209" s="63"/>
      <c r="E209" s="44"/>
      <c r="F209" s="33"/>
      <c r="G209" s="42"/>
      <c r="H209" s="43"/>
      <c r="I209" s="43"/>
      <c r="J209" s="36">
        <f>IF(+I209+H209&gt;0,I209+(H209*labour),"")</f>
      </c>
      <c r="K209" s="37">
        <f>+IF(F209="item",J209,IF(F209&lt;&gt;0,F209*J209,""))</f>
      </c>
      <c r="L209" s="31"/>
      <c r="M209" s="33"/>
      <c r="N209" s="42"/>
      <c r="O209" s="36"/>
      <c r="P209" s="37">
        <f>+IF(M209="item",O209,IF(M209&lt;&gt;0,M209*O209,""))</f>
      </c>
      <c r="Q209" s="54"/>
      <c r="S209" s="110"/>
      <c r="T209" s="12"/>
      <c r="U209" s="12"/>
      <c r="V209" s="12"/>
      <c r="W209" s="19"/>
      <c r="X209" s="111"/>
    </row>
    <row r="210" spans="1:24" ht="12.75" hidden="1" outlineLevel="1">
      <c r="A210" s="60"/>
      <c r="B210" s="61"/>
      <c r="C210" s="64"/>
      <c r="D210" s="63"/>
      <c r="E210" s="44" t="s">
        <v>429</v>
      </c>
      <c r="F210" s="33"/>
      <c r="G210" s="42"/>
      <c r="H210" s="43"/>
      <c r="I210" s="43"/>
      <c r="J210" s="36">
        <v>650</v>
      </c>
      <c r="K210" s="37">
        <f>+J210</f>
        <v>650</v>
      </c>
      <c r="L210" s="31" t="s">
        <v>430</v>
      </c>
      <c r="M210" s="33"/>
      <c r="N210" s="42"/>
      <c r="O210" s="36"/>
      <c r="P210" s="37"/>
      <c r="Q210" s="54"/>
      <c r="S210" s="110"/>
      <c r="T210" s="12"/>
      <c r="U210" s="12"/>
      <c r="V210" s="12"/>
      <c r="W210" s="19"/>
      <c r="X210" s="111"/>
    </row>
    <row r="211" spans="1:24" ht="12.75" hidden="1" outlineLevel="1">
      <c r="A211" s="60"/>
      <c r="B211" s="61"/>
      <c r="C211" s="64"/>
      <c r="D211" s="63"/>
      <c r="E211" s="44"/>
      <c r="F211" s="33"/>
      <c r="G211" s="42"/>
      <c r="H211" s="43"/>
      <c r="I211" s="43"/>
      <c r="J211" s="36"/>
      <c r="K211" s="37"/>
      <c r="L211" s="31"/>
      <c r="M211" s="33"/>
      <c r="N211" s="42"/>
      <c r="O211" s="36"/>
      <c r="P211" s="37"/>
      <c r="Q211" s="54"/>
      <c r="S211" s="110"/>
      <c r="T211" s="12"/>
      <c r="U211" s="12"/>
      <c r="V211" s="12"/>
      <c r="W211" s="19"/>
      <c r="X211" s="111"/>
    </row>
    <row r="212" spans="1:24" ht="12.75" hidden="1" outlineLevel="1">
      <c r="A212" s="60"/>
      <c r="B212" s="61"/>
      <c r="C212" s="64"/>
      <c r="D212" s="63"/>
      <c r="E212" s="44" t="s">
        <v>431</v>
      </c>
      <c r="F212" s="33">
        <f>+ROUND(D219,0)</f>
        <v>8</v>
      </c>
      <c r="G212" s="42" t="s">
        <v>215</v>
      </c>
      <c r="H212" s="43"/>
      <c r="I212" s="43"/>
      <c r="J212" s="36">
        <f>+polybeadbulk</f>
        <v>94.79166666666669</v>
      </c>
      <c r="K212" s="37">
        <f>+IF(F212="item",J212,IF(F212&lt;&gt;0,F212*J212,""))</f>
        <v>758.3333333333335</v>
      </c>
      <c r="L212" s="31" t="s">
        <v>432</v>
      </c>
      <c r="M212" s="33"/>
      <c r="N212" s="42"/>
      <c r="O212" s="36"/>
      <c r="P212" s="37"/>
      <c r="Q212" s="54"/>
      <c r="S212" s="110"/>
      <c r="T212" s="12"/>
      <c r="U212" s="12"/>
      <c r="V212" s="12"/>
      <c r="W212" s="19"/>
      <c r="X212" s="111"/>
    </row>
    <row r="213" spans="1:24" ht="12.75" hidden="1" outlineLevel="1">
      <c r="A213" s="60"/>
      <c r="B213" s="61"/>
      <c r="C213" s="64">
        <v>41</v>
      </c>
      <c r="D213" s="63"/>
      <c r="E213" s="44"/>
      <c r="F213" s="33"/>
      <c r="G213" s="42"/>
      <c r="H213" s="43"/>
      <c r="I213" s="43"/>
      <c r="J213" s="36"/>
      <c r="K213" s="37"/>
      <c r="L213" s="31"/>
      <c r="M213" s="33"/>
      <c r="N213" s="42"/>
      <c r="O213" s="36"/>
      <c r="P213" s="37"/>
      <c r="Q213" s="54"/>
      <c r="S213" s="110"/>
      <c r="T213" s="12"/>
      <c r="U213" s="12"/>
      <c r="V213" s="12"/>
      <c r="W213" s="19"/>
      <c r="X213" s="111"/>
    </row>
    <row r="214" spans="1:24" ht="12.75" hidden="1" outlineLevel="1">
      <c r="A214" s="60"/>
      <c r="B214" s="61"/>
      <c r="C214" s="135">
        <v>0.23</v>
      </c>
      <c r="D214" s="63">
        <f>+C213*C214</f>
        <v>9.43</v>
      </c>
      <c r="E214" s="44"/>
      <c r="F214" s="33"/>
      <c r="G214" s="42"/>
      <c r="H214" s="43"/>
      <c r="I214" s="43"/>
      <c r="J214" s="36"/>
      <c r="K214" s="37"/>
      <c r="L214" s="31"/>
      <c r="M214" s="33"/>
      <c r="N214" s="42"/>
      <c r="O214" s="36"/>
      <c r="P214" s="37"/>
      <c r="Q214" s="54"/>
      <c r="S214" s="110"/>
      <c r="T214" s="12"/>
      <c r="U214" s="12"/>
      <c r="V214" s="12"/>
      <c r="W214" s="19"/>
      <c r="X214" s="111"/>
    </row>
    <row r="215" spans="1:24" ht="12.75" hidden="1" outlineLevel="1">
      <c r="A215" s="60"/>
      <c r="B215" s="66">
        <v>-2.5</v>
      </c>
      <c r="C215" s="64">
        <f>+C213</f>
        <v>41</v>
      </c>
      <c r="D215" s="63"/>
      <c r="E215" s="44"/>
      <c r="F215" s="33"/>
      <c r="G215" s="42"/>
      <c r="H215" s="43"/>
      <c r="I215" s="43"/>
      <c r="J215" s="36"/>
      <c r="K215" s="37"/>
      <c r="L215" s="31"/>
      <c r="M215" s="33"/>
      <c r="N215" s="42"/>
      <c r="O215" s="36"/>
      <c r="P215" s="37"/>
      <c r="Q215" s="54"/>
      <c r="S215" s="110"/>
      <c r="T215" s="12"/>
      <c r="U215" s="12"/>
      <c r="V215" s="12"/>
      <c r="W215" s="19"/>
      <c r="X215" s="111"/>
    </row>
    <row r="216" spans="1:24" ht="12.75" hidden="1" outlineLevel="1">
      <c r="A216" s="60"/>
      <c r="B216" s="61"/>
      <c r="C216" s="64">
        <v>0.05</v>
      </c>
      <c r="D216" s="63"/>
      <c r="E216" s="44"/>
      <c r="F216" s="33"/>
      <c r="G216" s="42"/>
      <c r="H216" s="43"/>
      <c r="I216" s="43"/>
      <c r="J216" s="36"/>
      <c r="K216" s="37"/>
      <c r="L216" s="31"/>
      <c r="M216" s="33"/>
      <c r="N216" s="42"/>
      <c r="O216" s="36"/>
      <c r="P216" s="37"/>
      <c r="Q216" s="54"/>
      <c r="S216" s="110"/>
      <c r="T216" s="12"/>
      <c r="U216" s="12"/>
      <c r="V216" s="12"/>
      <c r="W216" s="19"/>
      <c r="X216" s="111"/>
    </row>
    <row r="217" spans="1:24" ht="12.75" hidden="1" outlineLevel="1">
      <c r="A217" s="60"/>
      <c r="B217" s="61"/>
      <c r="C217" s="135">
        <v>0.23</v>
      </c>
      <c r="D217" s="63">
        <f>+C217*C216*C215*B215</f>
        <v>-1.1787500000000002</v>
      </c>
      <c r="E217" s="44"/>
      <c r="F217" s="33"/>
      <c r="G217" s="42"/>
      <c r="H217" s="43"/>
      <c r="I217" s="43"/>
      <c r="J217" s="36"/>
      <c r="K217" s="37"/>
      <c r="L217" s="31"/>
      <c r="M217" s="33"/>
      <c r="N217" s="42"/>
      <c r="O217" s="36"/>
      <c r="P217" s="37"/>
      <c r="Q217" s="54"/>
      <c r="S217" s="110"/>
      <c r="T217" s="12"/>
      <c r="U217" s="12"/>
      <c r="V217" s="12"/>
      <c r="W217" s="19"/>
      <c r="X217" s="111"/>
    </row>
    <row r="218" spans="1:24" ht="12.75" hidden="1" outlineLevel="1">
      <c r="A218" s="60"/>
      <c r="B218" s="61"/>
      <c r="C218" s="64"/>
      <c r="D218" s="65"/>
      <c r="E218" s="44"/>
      <c r="F218" s="33"/>
      <c r="G218" s="42"/>
      <c r="H218" s="43"/>
      <c r="I218" s="43"/>
      <c r="J218" s="36"/>
      <c r="K218" s="37"/>
      <c r="L218" s="31"/>
      <c r="M218" s="33"/>
      <c r="N218" s="42"/>
      <c r="O218" s="36"/>
      <c r="P218" s="37"/>
      <c r="Q218" s="54"/>
      <c r="S218" s="110"/>
      <c r="T218" s="12"/>
      <c r="U218" s="12"/>
      <c r="V218" s="12"/>
      <c r="W218" s="19"/>
      <c r="X218" s="111"/>
    </row>
    <row r="219" spans="1:24" ht="12.75" hidden="1" outlineLevel="1">
      <c r="A219" s="60"/>
      <c r="B219" s="61"/>
      <c r="C219" s="64"/>
      <c r="D219" s="65">
        <f>SUM(D214:D218)</f>
        <v>8.251249999999999</v>
      </c>
      <c r="E219" s="44"/>
      <c r="F219" s="33"/>
      <c r="G219" s="42"/>
      <c r="H219" s="43"/>
      <c r="I219" s="43"/>
      <c r="J219" s="36"/>
      <c r="K219" s="37"/>
      <c r="L219" s="31"/>
      <c r="M219" s="33"/>
      <c r="N219" s="42"/>
      <c r="O219" s="36"/>
      <c r="P219" s="37"/>
      <c r="Q219" s="54"/>
      <c r="S219" s="110"/>
      <c r="T219" s="12"/>
      <c r="U219" s="12"/>
      <c r="V219" s="12"/>
      <c r="W219" s="19"/>
      <c r="X219" s="111"/>
    </row>
    <row r="220" spans="1:24" ht="12.75" hidden="1" outlineLevel="1">
      <c r="A220" s="60"/>
      <c r="B220" s="61"/>
      <c r="C220" s="64"/>
      <c r="D220" s="65"/>
      <c r="E220" s="44"/>
      <c r="F220" s="33"/>
      <c r="G220" s="42"/>
      <c r="H220" s="43"/>
      <c r="I220" s="43"/>
      <c r="J220" s="36"/>
      <c r="K220" s="37"/>
      <c r="L220" s="31"/>
      <c r="M220" s="33"/>
      <c r="N220" s="42"/>
      <c r="O220" s="36"/>
      <c r="P220" s="37"/>
      <c r="Q220" s="54"/>
      <c r="S220" s="110"/>
      <c r="T220" s="12"/>
      <c r="U220" s="12"/>
      <c r="V220" s="12"/>
      <c r="W220" s="19"/>
      <c r="X220" s="111"/>
    </row>
    <row r="221" spans="1:24" ht="12.75" hidden="1" outlineLevel="1">
      <c r="A221" s="60"/>
      <c r="B221" s="61"/>
      <c r="C221" s="64"/>
      <c r="D221" s="65"/>
      <c r="E221" s="44"/>
      <c r="F221" s="33"/>
      <c r="G221" s="42"/>
      <c r="H221" s="43"/>
      <c r="I221" s="43"/>
      <c r="J221" s="36"/>
      <c r="K221" s="37"/>
      <c r="L221" s="31"/>
      <c r="M221" s="33"/>
      <c r="N221" s="42"/>
      <c r="O221" s="36"/>
      <c r="P221" s="37"/>
      <c r="Q221" s="54"/>
      <c r="S221" s="110"/>
      <c r="T221" s="12"/>
      <c r="U221" s="12"/>
      <c r="V221" s="12"/>
      <c r="W221" s="19"/>
      <c r="X221" s="111"/>
    </row>
    <row r="222" spans="1:24" s="200" customFormat="1" ht="25.5" hidden="1" outlineLevel="1">
      <c r="A222" s="191"/>
      <c r="B222" s="192"/>
      <c r="C222" s="209"/>
      <c r="D222" s="194"/>
      <c r="E222" s="210" t="s">
        <v>435</v>
      </c>
      <c r="F222" s="14">
        <v>30</v>
      </c>
      <c r="G222" s="196" t="s">
        <v>8</v>
      </c>
      <c r="H222" s="197">
        <v>0.2</v>
      </c>
      <c r="I222" s="197">
        <v>2</v>
      </c>
      <c r="J222" s="198">
        <f>IF(+I222+H222&gt;0,I222+(H222*labour),"")</f>
        <v>8</v>
      </c>
      <c r="K222" s="199">
        <f>+IF(F222="item",J222,IF(F222&lt;&gt;0,F222*J222,""))</f>
        <v>240</v>
      </c>
      <c r="L222" s="31"/>
      <c r="M222" s="14"/>
      <c r="N222" s="196"/>
      <c r="O222" s="198"/>
      <c r="P222" s="199"/>
      <c r="Q222" s="54"/>
      <c r="S222" s="211"/>
      <c r="T222" s="206"/>
      <c r="U222" s="206"/>
      <c r="V222" s="206"/>
      <c r="W222" s="198"/>
      <c r="X222" s="207"/>
    </row>
    <row r="223" spans="1:24" ht="12.75" hidden="1" outlineLevel="1">
      <c r="A223" s="60"/>
      <c r="B223" s="61"/>
      <c r="C223" s="64"/>
      <c r="D223" s="63"/>
      <c r="E223" s="44"/>
      <c r="F223" s="33"/>
      <c r="G223" s="42"/>
      <c r="H223" s="43"/>
      <c r="I223" s="43"/>
      <c r="J223" s="36"/>
      <c r="K223" s="37"/>
      <c r="L223" s="31"/>
      <c r="M223" s="33"/>
      <c r="N223" s="42"/>
      <c r="O223" s="36"/>
      <c r="P223" s="37"/>
      <c r="Q223" s="54"/>
      <c r="S223" s="110"/>
      <c r="T223" s="12"/>
      <c r="U223" s="12"/>
      <c r="V223" s="12"/>
      <c r="W223" s="19"/>
      <c r="X223" s="111"/>
    </row>
    <row r="224" spans="1:24" ht="12.75" hidden="1" outlineLevel="1">
      <c r="A224" s="60"/>
      <c r="B224" s="61"/>
      <c r="C224" s="64"/>
      <c r="D224" s="63"/>
      <c r="E224" s="44"/>
      <c r="F224" s="33"/>
      <c r="G224" s="42"/>
      <c r="H224" s="43"/>
      <c r="I224" s="43"/>
      <c r="J224" s="36"/>
      <c r="K224" s="37"/>
      <c r="L224" s="31"/>
      <c r="M224" s="33"/>
      <c r="N224" s="42"/>
      <c r="O224" s="36"/>
      <c r="P224" s="37"/>
      <c r="Q224" s="54"/>
      <c r="S224" s="110"/>
      <c r="T224" s="12"/>
      <c r="U224" s="12"/>
      <c r="V224" s="12"/>
      <c r="W224" s="19"/>
      <c r="X224" s="111"/>
    </row>
    <row r="225" spans="1:24" ht="12.75" collapsed="1">
      <c r="A225" s="60"/>
      <c r="B225" s="61"/>
      <c r="C225" s="64"/>
      <c r="D225" s="63"/>
      <c r="E225" s="44"/>
      <c r="F225" s="33"/>
      <c r="G225" s="42"/>
      <c r="H225" s="43"/>
      <c r="I225" s="43"/>
      <c r="J225" s="36">
        <f>IF(+I225+H225&gt;0,I225+(H225*labour),"")</f>
      </c>
      <c r="K225" s="37">
        <f>+IF(F225="item",J225,IF(F225&lt;&gt;0,F225*J225,""))</f>
      </c>
      <c r="L225" s="31"/>
      <c r="M225" s="33"/>
      <c r="N225" s="42"/>
      <c r="O225" s="36"/>
      <c r="P225" s="37">
        <f>+IF(M225="item",O225,IF(M225&lt;&gt;0,M225*O225,""))</f>
      </c>
      <c r="Q225" s="54"/>
      <c r="S225" s="110"/>
      <c r="T225" s="12"/>
      <c r="U225" s="12"/>
      <c r="V225" s="12"/>
      <c r="W225" s="19"/>
      <c r="X225" s="111"/>
    </row>
    <row r="226" spans="1:24" ht="25.5">
      <c r="A226" s="60"/>
      <c r="B226" s="61"/>
      <c r="C226" s="64"/>
      <c r="D226" s="63"/>
      <c r="E226" s="77" t="s">
        <v>134</v>
      </c>
      <c r="F226" s="33"/>
      <c r="G226" s="42"/>
      <c r="H226" s="43"/>
      <c r="I226" s="43"/>
      <c r="J226" s="36">
        <f>IF(+I226+H226&gt;0,I226+(H226*labour),"")</f>
      </c>
      <c r="K226" s="37">
        <f>+IF(F226="item",J226,IF(F226&lt;&gt;0,F226*J226,""))</f>
      </c>
      <c r="L226" s="126" t="s">
        <v>141</v>
      </c>
      <c r="M226" s="72"/>
      <c r="N226" s="73"/>
      <c r="O226" s="74"/>
      <c r="P226" s="75">
        <f>+IF(M226="item",O226,IF(M226&lt;&gt;0,M226*O226,""))</f>
      </c>
      <c r="Q226" s="76"/>
      <c r="S226" s="110"/>
      <c r="T226" s="12"/>
      <c r="U226" s="12"/>
      <c r="V226" s="12"/>
      <c r="W226" s="19"/>
      <c r="X226" s="111"/>
    </row>
    <row r="227" spans="1:24" ht="12.75">
      <c r="A227" s="60"/>
      <c r="B227" s="61"/>
      <c r="C227" s="64"/>
      <c r="D227" s="63"/>
      <c r="E227" s="44"/>
      <c r="F227" s="33"/>
      <c r="G227" s="42"/>
      <c r="H227" s="43"/>
      <c r="I227" s="43"/>
      <c r="J227" s="36">
        <f>IF(+I227+H227&gt;0,I227+(H227*labour),"")</f>
      </c>
      <c r="K227" s="37">
        <f>+IF(F227="item",J227,IF(F227&lt;&gt;0,F227*J227,""))</f>
      </c>
      <c r="L227" s="31"/>
      <c r="M227" s="33"/>
      <c r="N227" s="42"/>
      <c r="O227" s="36"/>
      <c r="P227" s="37">
        <f>+IF(M227="item",O227,IF(M227&lt;&gt;0,M227*O227,""))</f>
      </c>
      <c r="Q227" s="54"/>
      <c r="S227" s="110"/>
      <c r="T227" s="12"/>
      <c r="U227" s="12"/>
      <c r="V227" s="12"/>
      <c r="W227" s="19"/>
      <c r="X227" s="111"/>
    </row>
    <row r="228" spans="1:24" ht="25.5">
      <c r="A228" s="60"/>
      <c r="B228" s="61"/>
      <c r="C228" s="64"/>
      <c r="D228" s="63"/>
      <c r="E228" s="77" t="s">
        <v>135</v>
      </c>
      <c r="F228" s="33"/>
      <c r="G228" s="42"/>
      <c r="H228" s="43"/>
      <c r="I228" s="43"/>
      <c r="J228" s="36">
        <f>IF(+I228+H228&gt;0,I228+(H228*labour),"")</f>
      </c>
      <c r="K228" s="53">
        <f>SUM(K229:K231)</f>
        <v>6750</v>
      </c>
      <c r="L228" s="31"/>
      <c r="M228" s="72"/>
      <c r="N228" s="73"/>
      <c r="O228" s="74"/>
      <c r="P228" s="75">
        <f>+IF(M228="item",O228,IF(M228&lt;&gt;0,M228*O228,""))</f>
      </c>
      <c r="Q228" s="76"/>
      <c r="S228" s="110"/>
      <c r="T228" s="12"/>
      <c r="U228" s="12"/>
      <c r="V228" s="12"/>
      <c r="W228" s="112"/>
      <c r="X228" s="116" t="s">
        <v>265</v>
      </c>
    </row>
    <row r="229" spans="1:24" ht="12.75" hidden="1" outlineLevel="1">
      <c r="A229" s="60"/>
      <c r="B229" s="61"/>
      <c r="C229" s="64"/>
      <c r="D229" s="63"/>
      <c r="E229" s="44"/>
      <c r="F229" s="33"/>
      <c r="G229" s="42"/>
      <c r="H229" s="43"/>
      <c r="I229" s="43"/>
      <c r="J229" s="36">
        <f>IF(+I229+H229&gt;0,I229+(H229*labour),"")</f>
      </c>
      <c r="K229" s="37">
        <f>+IF(F229="item",J229,IF(F229&lt;&gt;0,F229*J229,""))</f>
      </c>
      <c r="L229" s="31"/>
      <c r="M229" s="72"/>
      <c r="N229" s="73"/>
      <c r="O229" s="74"/>
      <c r="P229" s="75">
        <f>+IF(M229="item",O229,IF(M229&lt;&gt;0,M229*O229,""))</f>
      </c>
      <c r="Q229" s="76"/>
      <c r="S229" s="113"/>
      <c r="T229" s="12"/>
      <c r="U229" s="12"/>
      <c r="V229" s="12"/>
      <c r="W229" s="19"/>
      <c r="X229" s="111"/>
    </row>
    <row r="230" spans="1:24" ht="12.75" hidden="1" outlineLevel="1">
      <c r="A230" s="60"/>
      <c r="B230" s="61"/>
      <c r="C230" s="64"/>
      <c r="D230" s="63"/>
      <c r="E230" s="44" t="s">
        <v>136</v>
      </c>
      <c r="F230" s="33">
        <v>9</v>
      </c>
      <c r="G230" s="42" t="s">
        <v>8</v>
      </c>
      <c r="H230" s="43"/>
      <c r="I230" s="43"/>
      <c r="J230" s="36">
        <v>750</v>
      </c>
      <c r="K230" s="37">
        <f>+IF(F230="item",J230,IF(F230&lt;&gt;0,F230*J230,""))</f>
        <v>6750</v>
      </c>
      <c r="L230" s="31" t="s">
        <v>137</v>
      </c>
      <c r="M230" s="72"/>
      <c r="N230" s="73"/>
      <c r="O230" s="74"/>
      <c r="P230" s="75">
        <f>+IF(M230="item",O230,IF(M230&lt;&gt;0,M230*O230,""))</f>
      </c>
      <c r="Q230" s="76"/>
      <c r="S230" s="121"/>
      <c r="T230" s="114"/>
      <c r="U230" s="12"/>
      <c r="V230" s="12"/>
      <c r="W230" s="19"/>
      <c r="X230" s="111"/>
    </row>
    <row r="231" spans="1:24" ht="12.75" collapsed="1">
      <c r="A231" s="60"/>
      <c r="B231" s="61"/>
      <c r="C231" s="64"/>
      <c r="D231" s="63"/>
      <c r="E231" s="44"/>
      <c r="F231" s="33"/>
      <c r="G231" s="42"/>
      <c r="H231" s="43"/>
      <c r="I231" s="43"/>
      <c r="J231" s="36">
        <f>IF(+I231+H231&gt;0,I231+(H231*labour),"")</f>
      </c>
      <c r="K231" s="37">
        <f>+IF(F231="item",J231,IF(F231&lt;&gt;0,F231*J231,""))</f>
      </c>
      <c r="L231" s="31"/>
      <c r="M231" s="33"/>
      <c r="N231" s="42"/>
      <c r="O231" s="36"/>
      <c r="P231" s="37">
        <f>+IF(M231="item",O231,IF(M231&lt;&gt;0,M231*O231,""))</f>
      </c>
      <c r="Q231" s="54"/>
      <c r="S231" s="110"/>
      <c r="T231" s="12"/>
      <c r="U231" s="12"/>
      <c r="V231" s="12"/>
      <c r="W231" s="19"/>
      <c r="X231" s="111"/>
    </row>
    <row r="232" spans="1:24" ht="12.75">
      <c r="A232" s="60"/>
      <c r="B232" s="61"/>
      <c r="C232" s="64"/>
      <c r="D232" s="63"/>
      <c r="E232" s="77" t="s">
        <v>138</v>
      </c>
      <c r="F232" s="33"/>
      <c r="G232" s="42"/>
      <c r="H232" s="43"/>
      <c r="I232" s="43"/>
      <c r="J232" s="36">
        <f>IF(+I232+H232&gt;0,I232+(H232*labour),"")</f>
      </c>
      <c r="K232" s="53">
        <f>SUM(K233:K235)</f>
        <v>5280.912</v>
      </c>
      <c r="L232" s="126"/>
      <c r="M232" s="72"/>
      <c r="N232" s="73"/>
      <c r="O232" s="74"/>
      <c r="P232" s="75">
        <f>+IF(M232="item",O232,IF(M232&lt;&gt;0,M232*O232,""))</f>
      </c>
      <c r="Q232" s="76"/>
      <c r="S232" s="110"/>
      <c r="T232" s="114"/>
      <c r="U232" s="12"/>
      <c r="V232" s="12"/>
      <c r="W232" s="19"/>
      <c r="X232" s="116"/>
    </row>
    <row r="233" spans="1:24" ht="12.75">
      <c r="A233" s="60"/>
      <c r="B233" s="61"/>
      <c r="C233" s="62"/>
      <c r="D233" s="63"/>
      <c r="E233" s="77"/>
      <c r="F233" s="33"/>
      <c r="G233" s="42"/>
      <c r="H233" s="43"/>
      <c r="I233" s="43"/>
      <c r="J233" s="36">
        <f>IF(+I233+H233&gt;0,I233+(H233*labour),"")</f>
      </c>
      <c r="K233" s="37">
        <f>+IF(F233="item",J233,IF(F233&lt;&gt;0,F233*J233,""))</f>
      </c>
      <c r="L233" s="31"/>
      <c r="M233" s="33"/>
      <c r="N233" s="42"/>
      <c r="O233" s="36"/>
      <c r="P233" s="37">
        <f>+IF(M233="item",O233,IF(M233&lt;&gt;0,M233*O233,""))</f>
      </c>
      <c r="Q233" s="54"/>
      <c r="S233" s="110"/>
      <c r="T233" s="12"/>
      <c r="U233" s="12"/>
      <c r="V233" s="12"/>
      <c r="W233" s="19"/>
      <c r="X233" s="111"/>
    </row>
    <row r="234" spans="1:24" ht="38.25" hidden="1" outlineLevel="1">
      <c r="A234" s="60"/>
      <c r="B234" s="61"/>
      <c r="C234" s="62">
        <v>1.2</v>
      </c>
      <c r="D234" s="63"/>
      <c r="E234" s="44" t="s">
        <v>437</v>
      </c>
      <c r="F234" s="14">
        <f>ROUND(D253,0)</f>
        <v>26</v>
      </c>
      <c r="G234" s="196" t="s">
        <v>35</v>
      </c>
      <c r="H234" s="197"/>
      <c r="I234" s="197"/>
      <c r="J234" s="198">
        <f>dg</f>
        <v>203.112</v>
      </c>
      <c r="K234" s="199">
        <f>+IF(F234="item",J234,IF(F234&lt;&gt;0,F234*J234,""))</f>
        <v>5280.912</v>
      </c>
      <c r="L234" s="31"/>
      <c r="M234" s="33"/>
      <c r="N234" s="42"/>
      <c r="O234" s="36"/>
      <c r="P234" s="37"/>
      <c r="Q234" s="54"/>
      <c r="S234" s="110"/>
      <c r="T234" s="12"/>
      <c r="U234" s="12"/>
      <c r="V234" s="12"/>
      <c r="W234" s="19"/>
      <c r="X234" s="111"/>
    </row>
    <row r="235" spans="1:24" ht="12.75" hidden="1" outlineLevel="1">
      <c r="A235" s="60"/>
      <c r="B235" s="61"/>
      <c r="C235" s="135">
        <v>1</v>
      </c>
      <c r="D235" s="63">
        <f>+C234*C235</f>
        <v>1.2</v>
      </c>
      <c r="E235" s="77"/>
      <c r="F235" s="33"/>
      <c r="G235" s="42"/>
      <c r="H235" s="43"/>
      <c r="I235" s="43"/>
      <c r="J235" s="36"/>
      <c r="K235" s="37"/>
      <c r="L235" s="31"/>
      <c r="M235" s="33"/>
      <c r="N235" s="42"/>
      <c r="O235" s="36"/>
      <c r="P235" s="37"/>
      <c r="Q235" s="54"/>
      <c r="S235" s="110"/>
      <c r="T235" s="12"/>
      <c r="U235" s="12"/>
      <c r="V235" s="12"/>
      <c r="W235" s="19"/>
      <c r="X235" s="111"/>
    </row>
    <row r="236" spans="1:24" ht="12.75" hidden="1" outlineLevel="1">
      <c r="A236" s="60"/>
      <c r="B236" s="61">
        <v>2</v>
      </c>
      <c r="C236" s="62">
        <v>2.2</v>
      </c>
      <c r="D236" s="63"/>
      <c r="E236" s="77"/>
      <c r="F236" s="33"/>
      <c r="G236" s="42"/>
      <c r="H236" s="43"/>
      <c r="I236" s="43"/>
      <c r="J236" s="36"/>
      <c r="K236" s="37"/>
      <c r="L236" s="31"/>
      <c r="M236" s="33"/>
      <c r="N236" s="42"/>
      <c r="O236" s="36"/>
      <c r="P236" s="37"/>
      <c r="Q236" s="54"/>
      <c r="S236" s="110"/>
      <c r="T236" s="12"/>
      <c r="U236" s="12"/>
      <c r="V236" s="12"/>
      <c r="W236" s="19"/>
      <c r="X236" s="111"/>
    </row>
    <row r="237" spans="1:24" ht="12.75" hidden="1" outlineLevel="1">
      <c r="A237" s="60"/>
      <c r="B237" s="61"/>
      <c r="C237" s="135">
        <v>1</v>
      </c>
      <c r="D237" s="63">
        <f>+C237*C236*B236</f>
        <v>4.4</v>
      </c>
      <c r="E237" s="77"/>
      <c r="F237" s="33"/>
      <c r="G237" s="42"/>
      <c r="H237" s="43"/>
      <c r="I237" s="43"/>
      <c r="J237" s="36"/>
      <c r="K237" s="37"/>
      <c r="L237" s="31"/>
      <c r="M237" s="33"/>
      <c r="N237" s="42"/>
      <c r="O237" s="36"/>
      <c r="P237" s="37"/>
      <c r="Q237" s="54"/>
      <c r="S237" s="110"/>
      <c r="T237" s="12"/>
      <c r="U237" s="12"/>
      <c r="V237" s="12"/>
      <c r="W237" s="19"/>
      <c r="X237" s="111"/>
    </row>
    <row r="238" spans="1:24" ht="12.75" hidden="1" outlineLevel="1">
      <c r="A238" s="60"/>
      <c r="B238" s="61"/>
      <c r="C238" s="62">
        <v>2</v>
      </c>
      <c r="D238" s="63"/>
      <c r="E238" s="77"/>
      <c r="F238" s="33"/>
      <c r="G238" s="42"/>
      <c r="H238" s="43"/>
      <c r="I238" s="43"/>
      <c r="J238" s="36"/>
      <c r="K238" s="37"/>
      <c r="L238" s="31"/>
      <c r="M238" s="33"/>
      <c r="N238" s="42"/>
      <c r="O238" s="36"/>
      <c r="P238" s="37"/>
      <c r="Q238" s="54"/>
      <c r="S238" s="110"/>
      <c r="T238" s="12"/>
      <c r="U238" s="12"/>
      <c r="V238" s="12"/>
      <c r="W238" s="19"/>
      <c r="X238" s="111"/>
    </row>
    <row r="239" spans="1:24" ht="12.75" hidden="1" outlineLevel="1">
      <c r="A239" s="60"/>
      <c r="B239" s="61"/>
      <c r="C239" s="135">
        <v>1.8</v>
      </c>
      <c r="D239" s="63">
        <f>+C238*C239</f>
        <v>3.6</v>
      </c>
      <c r="E239" s="77"/>
      <c r="F239" s="33"/>
      <c r="G239" s="42"/>
      <c r="H239" s="43"/>
      <c r="I239" s="43"/>
      <c r="J239" s="36"/>
      <c r="K239" s="37"/>
      <c r="L239" s="31"/>
      <c r="M239" s="33"/>
      <c r="N239" s="42"/>
      <c r="O239" s="36"/>
      <c r="P239" s="37"/>
      <c r="Q239" s="54"/>
      <c r="S239" s="110"/>
      <c r="T239" s="12"/>
      <c r="U239" s="12"/>
      <c r="V239" s="12"/>
      <c r="W239" s="19"/>
      <c r="X239" s="111"/>
    </row>
    <row r="240" spans="1:24" ht="12.75" hidden="1" outlineLevel="1">
      <c r="A240" s="60"/>
      <c r="B240" s="61">
        <v>2</v>
      </c>
      <c r="C240" s="62">
        <v>1.2</v>
      </c>
      <c r="D240" s="63"/>
      <c r="E240" s="77"/>
      <c r="F240" s="33"/>
      <c r="G240" s="42"/>
      <c r="H240" s="43"/>
      <c r="I240" s="43"/>
      <c r="J240" s="36"/>
      <c r="K240" s="37"/>
      <c r="L240" s="31"/>
      <c r="M240" s="33"/>
      <c r="N240" s="42"/>
      <c r="O240" s="36"/>
      <c r="P240" s="37"/>
      <c r="Q240" s="54"/>
      <c r="S240" s="110"/>
      <c r="T240" s="12"/>
      <c r="U240" s="12"/>
      <c r="V240" s="12"/>
      <c r="W240" s="19"/>
      <c r="X240" s="111"/>
    </row>
    <row r="241" spans="1:24" ht="12.75" hidden="1" outlineLevel="1">
      <c r="A241" s="60"/>
      <c r="B241" s="61"/>
      <c r="C241" s="135">
        <v>1</v>
      </c>
      <c r="D241" s="63">
        <f>+C241*C240*B240</f>
        <v>2.4</v>
      </c>
      <c r="E241" s="77"/>
      <c r="F241" s="33"/>
      <c r="G241" s="42"/>
      <c r="H241" s="43"/>
      <c r="I241" s="43"/>
      <c r="J241" s="36"/>
      <c r="K241" s="37"/>
      <c r="L241" s="31"/>
      <c r="M241" s="33"/>
      <c r="N241" s="42"/>
      <c r="O241" s="36"/>
      <c r="P241" s="37"/>
      <c r="Q241" s="54"/>
      <c r="S241" s="110"/>
      <c r="T241" s="12"/>
      <c r="U241" s="12"/>
      <c r="V241" s="12"/>
      <c r="W241" s="19"/>
      <c r="X241" s="111"/>
    </row>
    <row r="242" spans="1:24" ht="12.75" hidden="1" outlineLevel="1">
      <c r="A242" s="60"/>
      <c r="B242" s="61"/>
      <c r="C242" s="62">
        <v>0.9</v>
      </c>
      <c r="D242" s="63"/>
      <c r="E242" s="77"/>
      <c r="F242" s="33"/>
      <c r="G242" s="42"/>
      <c r="H242" s="43"/>
      <c r="I242" s="43"/>
      <c r="J242" s="36"/>
      <c r="K242" s="37"/>
      <c r="L242" s="31"/>
      <c r="M242" s="33"/>
      <c r="N242" s="42"/>
      <c r="O242" s="36"/>
      <c r="P242" s="37"/>
      <c r="Q242" s="54"/>
      <c r="S242" s="110"/>
      <c r="T242" s="12"/>
      <c r="U242" s="12"/>
      <c r="V242" s="12"/>
      <c r="W242" s="19"/>
      <c r="X242" s="111"/>
    </row>
    <row r="243" spans="1:24" ht="12.75" hidden="1" outlineLevel="1">
      <c r="A243" s="60"/>
      <c r="B243" s="61"/>
      <c r="C243" s="135">
        <v>2.1</v>
      </c>
      <c r="D243" s="63">
        <f>+C242*C243</f>
        <v>1.8900000000000001</v>
      </c>
      <c r="E243" s="77"/>
      <c r="F243" s="33"/>
      <c r="G243" s="42"/>
      <c r="H243" s="43"/>
      <c r="I243" s="43"/>
      <c r="J243" s="36"/>
      <c r="K243" s="37"/>
      <c r="L243" s="31"/>
      <c r="M243" s="33"/>
      <c r="N243" s="42"/>
      <c r="O243" s="36"/>
      <c r="P243" s="37"/>
      <c r="Q243" s="54"/>
      <c r="S243" s="110"/>
      <c r="T243" s="12"/>
      <c r="U243" s="12"/>
      <c r="V243" s="12"/>
      <c r="W243" s="19"/>
      <c r="X243" s="111"/>
    </row>
    <row r="244" spans="1:24" ht="12.75" hidden="1" outlineLevel="1">
      <c r="A244" s="60"/>
      <c r="B244" s="61"/>
      <c r="C244" s="62">
        <v>2.4</v>
      </c>
      <c r="D244" s="63"/>
      <c r="E244" s="77"/>
      <c r="F244" s="33"/>
      <c r="G244" s="42"/>
      <c r="H244" s="43"/>
      <c r="I244" s="43"/>
      <c r="J244" s="36"/>
      <c r="K244" s="37"/>
      <c r="L244" s="31"/>
      <c r="M244" s="33"/>
      <c r="N244" s="42"/>
      <c r="O244" s="36"/>
      <c r="P244" s="37"/>
      <c r="Q244" s="54"/>
      <c r="S244" s="110"/>
      <c r="T244" s="12"/>
      <c r="U244" s="12"/>
      <c r="V244" s="12"/>
      <c r="W244" s="19"/>
      <c r="X244" s="111"/>
    </row>
    <row r="245" spans="1:24" ht="12.75" hidden="1" outlineLevel="1">
      <c r="A245" s="60"/>
      <c r="B245" s="61"/>
      <c r="C245" s="135">
        <v>1</v>
      </c>
      <c r="D245" s="63">
        <f>+C244*C245</f>
        <v>2.4</v>
      </c>
      <c r="E245" s="77"/>
      <c r="F245" s="33"/>
      <c r="G245" s="42"/>
      <c r="H245" s="43"/>
      <c r="I245" s="43"/>
      <c r="J245" s="36"/>
      <c r="K245" s="37"/>
      <c r="L245" s="31"/>
      <c r="M245" s="33"/>
      <c r="N245" s="42"/>
      <c r="O245" s="36"/>
      <c r="P245" s="37"/>
      <c r="Q245" s="54"/>
      <c r="S245" s="110"/>
      <c r="T245" s="12"/>
      <c r="U245" s="12"/>
      <c r="V245" s="12"/>
      <c r="W245" s="19"/>
      <c r="X245" s="111"/>
    </row>
    <row r="246" spans="1:24" ht="12.75" hidden="1" outlineLevel="1">
      <c r="A246" s="60"/>
      <c r="B246" s="61"/>
      <c r="C246" s="62">
        <v>1.2</v>
      </c>
      <c r="D246" s="63"/>
      <c r="E246" s="77"/>
      <c r="F246" s="33"/>
      <c r="G246" s="42"/>
      <c r="H246" s="43"/>
      <c r="I246" s="43"/>
      <c r="J246" s="36"/>
      <c r="K246" s="37"/>
      <c r="L246" s="31"/>
      <c r="M246" s="33"/>
      <c r="N246" s="42"/>
      <c r="O246" s="36"/>
      <c r="P246" s="37"/>
      <c r="Q246" s="54"/>
      <c r="S246" s="110"/>
      <c r="T246" s="12"/>
      <c r="U246" s="12"/>
      <c r="V246" s="12"/>
      <c r="W246" s="19"/>
      <c r="X246" s="111"/>
    </row>
    <row r="247" spans="1:24" ht="12.75" hidden="1" outlineLevel="1">
      <c r="A247" s="60"/>
      <c r="B247" s="61"/>
      <c r="C247" s="135">
        <v>1</v>
      </c>
      <c r="D247" s="63">
        <f>+C246*C247</f>
        <v>1.2</v>
      </c>
      <c r="E247" s="77"/>
      <c r="F247" s="33"/>
      <c r="G247" s="42"/>
      <c r="H247" s="43"/>
      <c r="I247" s="43"/>
      <c r="J247" s="36"/>
      <c r="K247" s="37"/>
      <c r="L247" s="31"/>
      <c r="M247" s="33"/>
      <c r="N247" s="42"/>
      <c r="O247" s="36"/>
      <c r="P247" s="37"/>
      <c r="Q247" s="54"/>
      <c r="S247" s="110"/>
      <c r="T247" s="12"/>
      <c r="U247" s="12"/>
      <c r="V247" s="12"/>
      <c r="W247" s="19"/>
      <c r="X247" s="111"/>
    </row>
    <row r="248" spans="1:24" ht="12.75" hidden="1" outlineLevel="1">
      <c r="A248" s="60"/>
      <c r="B248" s="61"/>
      <c r="C248" s="62">
        <v>2.3</v>
      </c>
      <c r="D248" s="63"/>
      <c r="E248" s="77"/>
      <c r="F248" s="33"/>
      <c r="G248" s="42"/>
      <c r="H248" s="43"/>
      <c r="I248" s="43"/>
      <c r="J248" s="36"/>
      <c r="K248" s="37"/>
      <c r="L248" s="31"/>
      <c r="M248" s="33"/>
      <c r="N248" s="42"/>
      <c r="O248" s="36"/>
      <c r="P248" s="37"/>
      <c r="Q248" s="54"/>
      <c r="S248" s="110"/>
      <c r="T248" s="12"/>
      <c r="U248" s="12"/>
      <c r="V248" s="12"/>
      <c r="W248" s="19"/>
      <c r="X248" s="111"/>
    </row>
    <row r="249" spans="1:24" ht="12.75" hidden="1" outlineLevel="1">
      <c r="A249" s="60"/>
      <c r="B249" s="61"/>
      <c r="C249" s="135">
        <v>2</v>
      </c>
      <c r="D249" s="63">
        <f>+C248*C249</f>
        <v>4.6</v>
      </c>
      <c r="E249" s="77"/>
      <c r="F249" s="33"/>
      <c r="G249" s="42"/>
      <c r="H249" s="43"/>
      <c r="I249" s="43"/>
      <c r="J249" s="36"/>
      <c r="K249" s="37"/>
      <c r="L249" s="31"/>
      <c r="M249" s="33"/>
      <c r="N249" s="42"/>
      <c r="O249" s="36"/>
      <c r="P249" s="37"/>
      <c r="Q249" s="54"/>
      <c r="S249" s="110"/>
      <c r="T249" s="12"/>
      <c r="U249" s="12"/>
      <c r="V249" s="12"/>
      <c r="W249" s="19"/>
      <c r="X249" s="111"/>
    </row>
    <row r="250" spans="1:24" ht="12.75" hidden="1" outlineLevel="1">
      <c r="A250" s="60"/>
      <c r="B250" s="61">
        <v>2</v>
      </c>
      <c r="C250" s="62">
        <v>2.4</v>
      </c>
      <c r="D250" s="63"/>
      <c r="E250" s="77"/>
      <c r="F250" s="33"/>
      <c r="G250" s="42"/>
      <c r="H250" s="43"/>
      <c r="I250" s="43"/>
      <c r="J250" s="36"/>
      <c r="K250" s="37"/>
      <c r="L250" s="31"/>
      <c r="M250" s="33"/>
      <c r="N250" s="42"/>
      <c r="O250" s="36"/>
      <c r="P250" s="37"/>
      <c r="Q250" s="54"/>
      <c r="S250" s="110"/>
      <c r="T250" s="12"/>
      <c r="U250" s="12"/>
      <c r="V250" s="12"/>
      <c r="W250" s="19"/>
      <c r="X250" s="111"/>
    </row>
    <row r="251" spans="1:24" ht="12.75" hidden="1" outlineLevel="1">
      <c r="A251" s="60"/>
      <c r="B251" s="61"/>
      <c r="C251" s="135">
        <v>1</v>
      </c>
      <c r="D251" s="63">
        <f>+C251*C250*B250</f>
        <v>4.8</v>
      </c>
      <c r="E251" s="77"/>
      <c r="F251" s="33"/>
      <c r="G251" s="42"/>
      <c r="H251" s="43"/>
      <c r="I251" s="43"/>
      <c r="J251" s="36"/>
      <c r="K251" s="37"/>
      <c r="L251" s="31"/>
      <c r="M251" s="33"/>
      <c r="N251" s="42"/>
      <c r="O251" s="36"/>
      <c r="P251" s="37"/>
      <c r="Q251" s="54"/>
      <c r="S251" s="110"/>
      <c r="T251" s="12"/>
      <c r="U251" s="12"/>
      <c r="V251" s="12"/>
      <c r="W251" s="19"/>
      <c r="X251" s="111"/>
    </row>
    <row r="252" spans="1:24" ht="12.75" hidden="1" outlineLevel="1">
      <c r="A252" s="60"/>
      <c r="B252" s="61"/>
      <c r="C252" s="62"/>
      <c r="D252" s="63"/>
      <c r="E252" s="77"/>
      <c r="F252" s="33"/>
      <c r="G252" s="42"/>
      <c r="H252" s="43"/>
      <c r="I252" s="43"/>
      <c r="J252" s="36"/>
      <c r="K252" s="37"/>
      <c r="L252" s="31"/>
      <c r="M252" s="33"/>
      <c r="N252" s="42"/>
      <c r="O252" s="36"/>
      <c r="P252" s="37"/>
      <c r="Q252" s="54"/>
      <c r="S252" s="110"/>
      <c r="T252" s="12"/>
      <c r="U252" s="12"/>
      <c r="V252" s="12"/>
      <c r="W252" s="19"/>
      <c r="X252" s="111"/>
    </row>
    <row r="253" spans="1:24" ht="12.75" hidden="1" outlineLevel="1">
      <c r="A253" s="60"/>
      <c r="B253" s="61"/>
      <c r="C253" s="62"/>
      <c r="D253" s="65">
        <f>SUM(D234:D252)</f>
        <v>26.490000000000006</v>
      </c>
      <c r="E253" s="77"/>
      <c r="F253" s="33"/>
      <c r="G253" s="42"/>
      <c r="H253" s="43"/>
      <c r="I253" s="43"/>
      <c r="J253" s="36"/>
      <c r="K253" s="37"/>
      <c r="L253" s="31"/>
      <c r="M253" s="33"/>
      <c r="N253" s="42"/>
      <c r="O253" s="36"/>
      <c r="P253" s="37"/>
      <c r="Q253" s="54"/>
      <c r="S253" s="110"/>
      <c r="T253" s="12"/>
      <c r="U253" s="12"/>
      <c r="V253" s="12"/>
      <c r="W253" s="19"/>
      <c r="X253" s="111"/>
    </row>
    <row r="254" spans="1:24" ht="12.75" collapsed="1">
      <c r="A254" s="60"/>
      <c r="B254" s="61"/>
      <c r="C254" s="62"/>
      <c r="D254" s="63"/>
      <c r="E254" s="77"/>
      <c r="F254" s="33"/>
      <c r="G254" s="42"/>
      <c r="H254" s="43"/>
      <c r="I254" s="43"/>
      <c r="J254" s="36"/>
      <c r="K254" s="37"/>
      <c r="L254" s="31"/>
      <c r="M254" s="33"/>
      <c r="N254" s="42"/>
      <c r="O254" s="36"/>
      <c r="P254" s="37"/>
      <c r="Q254" s="54"/>
      <c r="S254" s="110"/>
      <c r="T254" s="12"/>
      <c r="U254" s="12"/>
      <c r="V254" s="12"/>
      <c r="W254" s="19"/>
      <c r="X254" s="111"/>
    </row>
    <row r="255" spans="1:24" ht="12.75">
      <c r="A255" s="60"/>
      <c r="B255" s="61"/>
      <c r="C255" s="62"/>
      <c r="D255" s="63"/>
      <c r="E255" s="77"/>
      <c r="F255" s="33"/>
      <c r="G255" s="42"/>
      <c r="H255" s="43"/>
      <c r="I255" s="43"/>
      <c r="J255" s="36"/>
      <c r="K255" s="37"/>
      <c r="L255" s="31"/>
      <c r="M255" s="33"/>
      <c r="N255" s="42"/>
      <c r="O255" s="36"/>
      <c r="P255" s="37"/>
      <c r="Q255" s="54"/>
      <c r="S255" s="110"/>
      <c r="T255" s="12"/>
      <c r="U255" s="12"/>
      <c r="V255" s="12"/>
      <c r="W255" s="19"/>
      <c r="X255" s="111"/>
    </row>
    <row r="256" spans="1:24" ht="12.75">
      <c r="A256" s="60"/>
      <c r="B256" s="61"/>
      <c r="C256" s="62"/>
      <c r="D256" s="63"/>
      <c r="E256" s="77"/>
      <c r="F256" s="33"/>
      <c r="G256" s="42"/>
      <c r="H256" s="43"/>
      <c r="I256" s="43"/>
      <c r="J256" s="36"/>
      <c r="K256" s="37"/>
      <c r="L256" s="31"/>
      <c r="M256" s="33"/>
      <c r="N256" s="42"/>
      <c r="O256" s="36"/>
      <c r="P256" s="37"/>
      <c r="Q256" s="54"/>
      <c r="S256" s="110"/>
      <c r="T256" s="12"/>
      <c r="U256" s="12"/>
      <c r="V256" s="12"/>
      <c r="W256" s="19"/>
      <c r="X256" s="111"/>
    </row>
    <row r="257" spans="1:24" ht="25.5">
      <c r="A257" s="60"/>
      <c r="B257" s="61"/>
      <c r="C257" s="62"/>
      <c r="D257" s="65"/>
      <c r="E257" s="139" t="s">
        <v>139</v>
      </c>
      <c r="F257" s="72"/>
      <c r="G257" s="73"/>
      <c r="H257" s="140"/>
      <c r="I257" s="140"/>
      <c r="J257" s="74">
        <f>IF(+I257+H257&gt;0,I257+(H257*labour),"")</f>
      </c>
      <c r="K257" s="75">
        <f>+IF(F257="item",J257,IF(F257&lt;&gt;0,F257*J257,""))</f>
      </c>
      <c r="L257" s="141" t="s">
        <v>322</v>
      </c>
      <c r="M257" s="72"/>
      <c r="N257" s="73"/>
      <c r="O257" s="74"/>
      <c r="P257" s="75">
        <f>+IF(M257="item",O257,IF(M257&lt;&gt;0,M257*O257,""))</f>
      </c>
      <c r="Q257" s="76"/>
      <c r="S257" s="110"/>
      <c r="T257" s="12"/>
      <c r="U257" s="12"/>
      <c r="V257" s="12"/>
      <c r="W257" s="19"/>
      <c r="X257" s="116" t="s">
        <v>265</v>
      </c>
    </row>
    <row r="258" spans="1:24" ht="12.75">
      <c r="A258" s="60"/>
      <c r="B258" s="61"/>
      <c r="C258" s="62"/>
      <c r="D258" s="65"/>
      <c r="E258" s="77"/>
      <c r="F258" s="33"/>
      <c r="G258" s="42"/>
      <c r="H258" s="43"/>
      <c r="I258" s="43"/>
      <c r="J258" s="36"/>
      <c r="K258" s="37"/>
      <c r="L258" s="31"/>
      <c r="M258" s="72"/>
      <c r="N258" s="73"/>
      <c r="O258" s="74"/>
      <c r="P258" s="75">
        <f>+IF(M258="item",O258,IF(M258&lt;&gt;0,M258*O258,""))</f>
      </c>
      <c r="Q258" s="76"/>
      <c r="S258" s="110"/>
      <c r="T258" s="12"/>
      <c r="U258" s="12"/>
      <c r="V258" s="12"/>
      <c r="W258" s="19"/>
      <c r="X258" s="116"/>
    </row>
    <row r="259" spans="1:24" ht="38.25" customHeight="1">
      <c r="A259" s="60"/>
      <c r="B259" s="61"/>
      <c r="C259" s="64"/>
      <c r="D259" s="63"/>
      <c r="E259" s="32" t="s">
        <v>356</v>
      </c>
      <c r="F259" s="33"/>
      <c r="G259" s="42"/>
      <c r="H259" s="43"/>
      <c r="I259" s="43"/>
      <c r="J259" s="36"/>
      <c r="K259" s="53">
        <f>SUM(K260:K262)</f>
        <v>844.1999999999999</v>
      </c>
      <c r="L259" s="31" t="s">
        <v>390</v>
      </c>
      <c r="M259" s="72"/>
      <c r="N259" s="73"/>
      <c r="O259" s="74"/>
      <c r="P259" s="75">
        <f>+IF(M259="item",O259,IF(M259&lt;&gt;0,M259*O259,""))</f>
      </c>
      <c r="Q259" s="76"/>
      <c r="S259" s="110"/>
      <c r="T259" s="12"/>
      <c r="U259" s="12"/>
      <c r="V259" s="12"/>
      <c r="W259" s="19"/>
      <c r="X259" s="116" t="s">
        <v>265</v>
      </c>
    </row>
    <row r="260" spans="1:24" ht="12.75">
      <c r="A260" s="60"/>
      <c r="B260" s="61"/>
      <c r="C260" s="62"/>
      <c r="D260" s="63"/>
      <c r="E260" s="32"/>
      <c r="F260" s="33"/>
      <c r="G260" s="34"/>
      <c r="H260" s="39"/>
      <c r="I260" s="39"/>
      <c r="J260" s="36"/>
      <c r="K260" s="53"/>
      <c r="L260" s="31"/>
      <c r="M260" s="72"/>
      <c r="N260" s="73"/>
      <c r="O260" s="74"/>
      <c r="P260" s="75"/>
      <c r="Q260" s="76"/>
      <c r="S260" s="110"/>
      <c r="T260" s="12"/>
      <c r="U260" s="12"/>
      <c r="V260" s="12"/>
      <c r="W260" s="19"/>
      <c r="X260" s="116"/>
    </row>
    <row r="261" spans="1:24" ht="12.75">
      <c r="A261" s="60"/>
      <c r="B261" s="61"/>
      <c r="C261" s="62"/>
      <c r="D261" s="63"/>
      <c r="E261" s="32"/>
      <c r="F261" s="33">
        <f>+F266</f>
        <v>134</v>
      </c>
      <c r="G261" s="34" t="s">
        <v>35</v>
      </c>
      <c r="H261" s="39"/>
      <c r="I261" s="39"/>
      <c r="J261" s="36">
        <f>polybeadwall</f>
        <v>6.3</v>
      </c>
      <c r="K261" s="37">
        <f>+IF(F261="item",J261,IF(F261&lt;&gt;0,F261*J261,""))</f>
        <v>844.1999999999999</v>
      </c>
      <c r="L261" s="31"/>
      <c r="M261" s="72"/>
      <c r="N261" s="73"/>
      <c r="O261" s="74"/>
      <c r="P261" s="75"/>
      <c r="Q261" s="76"/>
      <c r="S261" s="110"/>
      <c r="T261" s="12"/>
      <c r="U261" s="12"/>
      <c r="V261" s="12"/>
      <c r="W261" s="19"/>
      <c r="X261" s="116"/>
    </row>
    <row r="262" spans="1:24" ht="12.75">
      <c r="A262" s="60"/>
      <c r="B262" s="61"/>
      <c r="C262" s="62"/>
      <c r="D262" s="63"/>
      <c r="E262" s="32"/>
      <c r="F262" s="33"/>
      <c r="G262" s="34"/>
      <c r="H262" s="39"/>
      <c r="I262" s="39"/>
      <c r="J262" s="36"/>
      <c r="K262" s="53"/>
      <c r="L262" s="31"/>
      <c r="M262" s="72"/>
      <c r="N262" s="73"/>
      <c r="O262" s="74"/>
      <c r="P262" s="75"/>
      <c r="Q262" s="76"/>
      <c r="S262" s="110"/>
      <c r="T262" s="12"/>
      <c r="U262" s="12"/>
      <c r="V262" s="12"/>
      <c r="W262" s="19"/>
      <c r="X262" s="116"/>
    </row>
    <row r="263" spans="1:24" ht="12.75">
      <c r="A263" s="60"/>
      <c r="B263" s="61"/>
      <c r="C263" s="62"/>
      <c r="D263" s="65"/>
      <c r="E263" s="77"/>
      <c r="F263" s="33"/>
      <c r="G263" s="42"/>
      <c r="H263" s="43"/>
      <c r="I263" s="43"/>
      <c r="J263" s="36"/>
      <c r="K263" s="37">
        <f>+IF(F263="item",J263,IF(F263&lt;&gt;0,F263*J263,""))</f>
      </c>
      <c r="L263" s="31"/>
      <c r="M263" s="33"/>
      <c r="N263" s="42"/>
      <c r="O263" s="36"/>
      <c r="P263" s="37"/>
      <c r="Q263" s="54"/>
      <c r="S263" s="110"/>
      <c r="T263" s="12"/>
      <c r="U263" s="12"/>
      <c r="V263" s="12"/>
      <c r="W263" s="19"/>
      <c r="X263" s="111"/>
    </row>
    <row r="264" spans="1:24" ht="25.5">
      <c r="A264" s="60"/>
      <c r="B264" s="61"/>
      <c r="C264" s="62"/>
      <c r="D264" s="65"/>
      <c r="E264" s="77" t="s">
        <v>142</v>
      </c>
      <c r="F264" s="33"/>
      <c r="G264" s="42"/>
      <c r="H264" s="43"/>
      <c r="I264" s="43"/>
      <c r="J264" s="36"/>
      <c r="K264" s="53">
        <f>SUM(K266:K306)</f>
        <v>28407.5</v>
      </c>
      <c r="L264" s="31"/>
      <c r="M264" s="72"/>
      <c r="N264" s="73"/>
      <c r="O264" s="74"/>
      <c r="P264" s="75">
        <f>+IF(M264="item",O264,IF(M264&lt;&gt;0,M264*O264,""))</f>
      </c>
      <c r="Q264" s="76"/>
      <c r="S264" s="110"/>
      <c r="T264" s="12"/>
      <c r="U264" s="12"/>
      <c r="V264" s="12"/>
      <c r="W264" s="19"/>
      <c r="X264" s="111"/>
    </row>
    <row r="265" spans="1:24" ht="12.75">
      <c r="A265" s="60"/>
      <c r="B265" s="61"/>
      <c r="C265" s="62"/>
      <c r="D265" s="65"/>
      <c r="E265" s="77"/>
      <c r="F265" s="33"/>
      <c r="G265" s="42"/>
      <c r="H265" s="43"/>
      <c r="I265" s="43"/>
      <c r="J265" s="36"/>
      <c r="K265" s="37">
        <f>+IF(F265="item",J265,IF(F265&lt;&gt;0,F265*J265,""))</f>
      </c>
      <c r="L265" s="31"/>
      <c r="M265" s="72"/>
      <c r="N265" s="73"/>
      <c r="O265" s="74"/>
      <c r="P265" s="75">
        <f>+IF(M265="item",O265,IF(M265&lt;&gt;0,M265*O265,""))</f>
      </c>
      <c r="Q265" s="76"/>
      <c r="S265" s="110"/>
      <c r="T265" s="12"/>
      <c r="U265" s="12"/>
      <c r="V265" s="12"/>
      <c r="W265" s="19"/>
      <c r="X265" s="111"/>
    </row>
    <row r="266" spans="1:24" ht="51" hidden="1" outlineLevel="1">
      <c r="A266" s="60"/>
      <c r="B266" s="61"/>
      <c r="C266" s="62"/>
      <c r="D266" s="65"/>
      <c r="E266" s="44" t="s">
        <v>330</v>
      </c>
      <c r="F266" s="33">
        <f>ROUND(D286,0)</f>
        <v>134</v>
      </c>
      <c r="G266" s="42" t="s">
        <v>35</v>
      </c>
      <c r="H266" s="43"/>
      <c r="I266" s="43"/>
      <c r="J266" s="36">
        <f>pavadentro</f>
        <v>150</v>
      </c>
      <c r="K266" s="37">
        <f>+IF(F266="item",J266,IF(F266&lt;&gt;0,F266*J266,""))</f>
        <v>20100</v>
      </c>
      <c r="L266" s="31" t="s">
        <v>391</v>
      </c>
      <c r="M266" s="72"/>
      <c r="N266" s="73"/>
      <c r="O266" s="74"/>
      <c r="P266" s="75">
        <f>+IF(M266="item",O266,IF(M266&lt;&gt;0,M266*O266,""))</f>
      </c>
      <c r="Q266" s="76"/>
      <c r="S266" s="110"/>
      <c r="T266" s="12"/>
      <c r="U266" s="12"/>
      <c r="V266" s="12"/>
      <c r="W266" s="19"/>
      <c r="X266" s="111"/>
    </row>
    <row r="267" spans="1:24" ht="12.75" hidden="1" outlineLevel="1">
      <c r="A267" s="60"/>
      <c r="B267" s="61">
        <v>2</v>
      </c>
      <c r="C267" s="62">
        <v>7.8</v>
      </c>
      <c r="D267" s="63"/>
      <c r="E267" s="77"/>
      <c r="F267" s="33"/>
      <c r="G267" s="42"/>
      <c r="H267" s="43"/>
      <c r="I267" s="43"/>
      <c r="J267" s="36"/>
      <c r="K267" s="37">
        <f>+IF(F267="item",J267,IF(F267&lt;&gt;0,F267*J267,""))</f>
      </c>
      <c r="L267" s="31"/>
      <c r="M267" s="72"/>
      <c r="N267" s="73"/>
      <c r="O267" s="74"/>
      <c r="P267" s="75">
        <f>+IF(M267="item",O267,IF(M267&lt;&gt;0,M267*O267,""))</f>
      </c>
      <c r="Q267" s="76"/>
      <c r="S267" s="110"/>
      <c r="T267" s="12"/>
      <c r="U267" s="12"/>
      <c r="V267" s="12"/>
      <c r="W267" s="19"/>
      <c r="X267" s="111"/>
    </row>
    <row r="268" spans="1:24" ht="12.75" hidden="1" outlineLevel="1">
      <c r="A268" s="60"/>
      <c r="B268" s="61"/>
      <c r="C268" s="135">
        <v>4.7</v>
      </c>
      <c r="D268" s="63">
        <f>+C267*C268*B267</f>
        <v>73.32000000000001</v>
      </c>
      <c r="E268" s="77"/>
      <c r="F268" s="33"/>
      <c r="G268" s="42"/>
      <c r="H268" s="43"/>
      <c r="I268" s="43"/>
      <c r="J268" s="36"/>
      <c r="K268" s="37">
        <f>+IF(F268="item",J268,IF(F268&lt;&gt;0,F268*J268,""))</f>
      </c>
      <c r="L268" s="31"/>
      <c r="M268" s="72"/>
      <c r="N268" s="73"/>
      <c r="O268" s="74"/>
      <c r="P268" s="75">
        <f>+IF(M268="item",O268,IF(M268&lt;&gt;0,M268*O268,""))</f>
      </c>
      <c r="Q268" s="76"/>
      <c r="S268" s="110"/>
      <c r="T268" s="12"/>
      <c r="U268" s="12"/>
      <c r="V268" s="12"/>
      <c r="W268" s="19"/>
      <c r="X268" s="111"/>
    </row>
    <row r="269" spans="1:24" ht="12.75" hidden="1" outlineLevel="1">
      <c r="A269" s="60"/>
      <c r="B269" s="61">
        <v>2</v>
      </c>
      <c r="C269" s="62">
        <v>6.5</v>
      </c>
      <c r="D269" s="63"/>
      <c r="E269" s="77"/>
      <c r="F269" s="33"/>
      <c r="G269" s="42"/>
      <c r="H269" s="43"/>
      <c r="I269" s="43"/>
      <c r="J269" s="36"/>
      <c r="K269" s="37"/>
      <c r="L269" s="31"/>
      <c r="M269" s="72"/>
      <c r="N269" s="73"/>
      <c r="O269" s="74"/>
      <c r="P269" s="75"/>
      <c r="Q269" s="76"/>
      <c r="S269" s="110"/>
      <c r="T269" s="12"/>
      <c r="U269" s="12"/>
      <c r="V269" s="12"/>
      <c r="W269" s="19"/>
      <c r="X269" s="111"/>
    </row>
    <row r="270" spans="1:24" ht="12.75" hidden="1" outlineLevel="1">
      <c r="A270" s="60"/>
      <c r="B270" s="61"/>
      <c r="C270" s="135">
        <v>4.7</v>
      </c>
      <c r="D270" s="63">
        <f>+C269*C270*B269</f>
        <v>61.1</v>
      </c>
      <c r="E270" s="77"/>
      <c r="F270" s="33"/>
      <c r="G270" s="42"/>
      <c r="H270" s="43"/>
      <c r="I270" s="43"/>
      <c r="J270" s="36"/>
      <c r="K270" s="37"/>
      <c r="L270" s="31"/>
      <c r="M270" s="72"/>
      <c r="N270" s="73"/>
      <c r="O270" s="74"/>
      <c r="P270" s="75"/>
      <c r="Q270" s="76"/>
      <c r="S270" s="110"/>
      <c r="T270" s="12"/>
      <c r="U270" s="12"/>
      <c r="V270" s="12"/>
      <c r="W270" s="19"/>
      <c r="X270" s="111"/>
    </row>
    <row r="271" spans="1:24" ht="12.75" hidden="1" outlineLevel="1">
      <c r="A271" s="60">
        <v>2</v>
      </c>
      <c r="B271" s="137">
        <v>0.5</v>
      </c>
      <c r="C271" s="62">
        <v>6.5</v>
      </c>
      <c r="D271" s="63"/>
      <c r="E271" s="77"/>
      <c r="F271" s="33"/>
      <c r="G271" s="42"/>
      <c r="H271" s="43"/>
      <c r="I271" s="43"/>
      <c r="J271" s="36"/>
      <c r="K271" s="37"/>
      <c r="L271" s="31"/>
      <c r="M271" s="72"/>
      <c r="N271" s="73"/>
      <c r="O271" s="74"/>
      <c r="P271" s="75"/>
      <c r="Q271" s="76"/>
      <c r="S271" s="110"/>
      <c r="T271" s="12"/>
      <c r="U271" s="12"/>
      <c r="V271" s="12"/>
      <c r="W271" s="19"/>
      <c r="X271" s="111"/>
    </row>
    <row r="272" spans="1:24" ht="12.75" hidden="1" outlineLevel="1">
      <c r="A272" s="60"/>
      <c r="B272" s="61"/>
      <c r="C272" s="135">
        <v>1.8</v>
      </c>
      <c r="D272" s="63">
        <f>+C271*C272*A271</f>
        <v>23.400000000000002</v>
      </c>
      <c r="E272" s="77"/>
      <c r="F272" s="33"/>
      <c r="G272" s="42"/>
      <c r="H272" s="43"/>
      <c r="I272" s="43"/>
      <c r="J272" s="36"/>
      <c r="K272" s="37"/>
      <c r="L272" s="31"/>
      <c r="M272" s="72"/>
      <c r="N272" s="73"/>
      <c r="O272" s="74"/>
      <c r="P272" s="75"/>
      <c r="Q272" s="76"/>
      <c r="S272" s="110"/>
      <c r="T272" s="12"/>
      <c r="U272" s="12"/>
      <c r="V272" s="12"/>
      <c r="W272" s="19"/>
      <c r="X272" s="111"/>
    </row>
    <row r="273" spans="1:24" ht="12.75" hidden="1" outlineLevel="1">
      <c r="A273" s="60"/>
      <c r="B273" s="61">
        <v>2</v>
      </c>
      <c r="C273" s="62">
        <v>1</v>
      </c>
      <c r="D273" s="63"/>
      <c r="E273" s="77"/>
      <c r="F273" s="33"/>
      <c r="G273" s="42"/>
      <c r="H273" s="43"/>
      <c r="I273" s="43"/>
      <c r="J273" s="36"/>
      <c r="K273" s="37"/>
      <c r="L273" s="31"/>
      <c r="M273" s="72"/>
      <c r="N273" s="73"/>
      <c r="O273" s="74"/>
      <c r="P273" s="75"/>
      <c r="Q273" s="76"/>
      <c r="S273" s="110"/>
      <c r="T273" s="12"/>
      <c r="U273" s="12"/>
      <c r="V273" s="12"/>
      <c r="W273" s="19"/>
      <c r="X273" s="111"/>
    </row>
    <row r="274" spans="1:24" ht="12.75" hidden="1" outlineLevel="1">
      <c r="A274" s="60"/>
      <c r="B274" s="61"/>
      <c r="C274" s="135">
        <v>2.4</v>
      </c>
      <c r="D274" s="63">
        <f>+C273*C274*B273</f>
        <v>4.8</v>
      </c>
      <c r="E274" s="77"/>
      <c r="F274" s="33"/>
      <c r="G274" s="42"/>
      <c r="H274" s="43"/>
      <c r="I274" s="43"/>
      <c r="J274" s="36"/>
      <c r="K274" s="37"/>
      <c r="L274" s="31"/>
      <c r="M274" s="72"/>
      <c r="N274" s="73"/>
      <c r="O274" s="74"/>
      <c r="P274" s="75"/>
      <c r="Q274" s="76"/>
      <c r="S274" s="110"/>
      <c r="T274" s="12"/>
      <c r="U274" s="12"/>
      <c r="V274" s="12"/>
      <c r="W274" s="19"/>
      <c r="X274" s="111"/>
    </row>
    <row r="275" spans="1:24" ht="12.75" hidden="1" outlineLevel="1">
      <c r="A275" s="60"/>
      <c r="B275" s="61">
        <v>-4</v>
      </c>
      <c r="C275" s="62">
        <v>1.2</v>
      </c>
      <c r="D275" s="63"/>
      <c r="E275" s="77"/>
      <c r="F275" s="33"/>
      <c r="G275" s="42"/>
      <c r="H275" s="43"/>
      <c r="I275" s="43"/>
      <c r="J275" s="36"/>
      <c r="K275" s="37">
        <f aca="true" t="shared" si="21" ref="K275:K299">+IF(F275="item",J275,IF(F275&lt;&gt;0,F275*J275,""))</f>
      </c>
      <c r="L275" s="31"/>
      <c r="M275" s="72"/>
      <c r="N275" s="73"/>
      <c r="O275" s="74"/>
      <c r="P275" s="75"/>
      <c r="Q275" s="76"/>
      <c r="S275" s="110"/>
      <c r="T275" s="12"/>
      <c r="U275" s="12"/>
      <c r="V275" s="12"/>
      <c r="W275" s="19"/>
      <c r="X275" s="111"/>
    </row>
    <row r="276" spans="1:24" ht="12.75" hidden="1" outlineLevel="1">
      <c r="A276" s="60"/>
      <c r="B276" s="61"/>
      <c r="C276" s="135">
        <v>1.2</v>
      </c>
      <c r="D276" s="63">
        <f>+C276*C275*B275</f>
        <v>-5.76</v>
      </c>
      <c r="E276" s="77"/>
      <c r="F276" s="33"/>
      <c r="G276" s="42"/>
      <c r="H276" s="43"/>
      <c r="I276" s="43"/>
      <c r="J276" s="36"/>
      <c r="K276" s="37">
        <f t="shared" si="21"/>
      </c>
      <c r="L276" s="31"/>
      <c r="M276" s="72"/>
      <c r="N276" s="73"/>
      <c r="O276" s="74"/>
      <c r="P276" s="75"/>
      <c r="Q276" s="76"/>
      <c r="S276" s="110"/>
      <c r="T276" s="12"/>
      <c r="U276" s="12"/>
      <c r="V276" s="12"/>
      <c r="W276" s="19"/>
      <c r="X276" s="111"/>
    </row>
    <row r="277" spans="1:24" ht="12.75" hidden="1" outlineLevel="1">
      <c r="A277" s="60"/>
      <c r="B277" s="61">
        <v>-4</v>
      </c>
      <c r="C277" s="62">
        <v>2.3</v>
      </c>
      <c r="D277" s="63"/>
      <c r="E277" s="77"/>
      <c r="F277" s="33"/>
      <c r="G277" s="42"/>
      <c r="H277" s="43"/>
      <c r="I277" s="43"/>
      <c r="J277" s="36"/>
      <c r="K277" s="37">
        <f t="shared" si="21"/>
      </c>
      <c r="L277" s="31"/>
      <c r="M277" s="72"/>
      <c r="N277" s="73"/>
      <c r="O277" s="74"/>
      <c r="P277" s="75">
        <f>+IF(M277="item",O277,IF(M277&lt;&gt;0,M277*O277,""))</f>
      </c>
      <c r="Q277" s="76"/>
      <c r="S277" s="110"/>
      <c r="T277" s="12"/>
      <c r="U277" s="12"/>
      <c r="V277" s="12"/>
      <c r="W277" s="19"/>
      <c r="X277" s="111"/>
    </row>
    <row r="278" spans="1:24" ht="12.75" hidden="1" outlineLevel="1">
      <c r="A278" s="60"/>
      <c r="B278" s="61"/>
      <c r="C278" s="135">
        <v>1.2</v>
      </c>
      <c r="D278" s="63">
        <f>+C278*C277*B277</f>
        <v>-11.04</v>
      </c>
      <c r="E278" s="77"/>
      <c r="F278" s="33"/>
      <c r="G278" s="42"/>
      <c r="H278" s="43"/>
      <c r="I278" s="43"/>
      <c r="J278" s="36"/>
      <c r="K278" s="37">
        <f t="shared" si="21"/>
      </c>
      <c r="L278" s="31"/>
      <c r="M278" s="72"/>
      <c r="N278" s="73"/>
      <c r="O278" s="74"/>
      <c r="P278" s="75">
        <f>+IF(M278="item",O278,IF(M278&lt;&gt;0,M278*O278,""))</f>
      </c>
      <c r="Q278" s="76"/>
      <c r="S278" s="110"/>
      <c r="T278" s="12"/>
      <c r="U278" s="12"/>
      <c r="V278" s="12"/>
      <c r="W278" s="19"/>
      <c r="X278" s="111"/>
    </row>
    <row r="279" spans="1:24" ht="12.75" hidden="1" outlineLevel="1">
      <c r="A279" s="60"/>
      <c r="B279" s="61">
        <v>-1</v>
      </c>
      <c r="C279" s="62">
        <v>2.1</v>
      </c>
      <c r="D279" s="63"/>
      <c r="E279" s="77"/>
      <c r="F279" s="33"/>
      <c r="G279" s="42"/>
      <c r="H279" s="43"/>
      <c r="I279" s="43"/>
      <c r="J279" s="36"/>
      <c r="K279" s="37">
        <f t="shared" si="21"/>
      </c>
      <c r="L279" s="31"/>
      <c r="M279" s="72"/>
      <c r="N279" s="73"/>
      <c r="O279" s="74"/>
      <c r="P279" s="75">
        <f>+IF(M279="item",O279,IF(M279&lt;&gt;0,M279*O279,""))</f>
      </c>
      <c r="Q279" s="76"/>
      <c r="S279" s="110"/>
      <c r="T279" s="12"/>
      <c r="U279" s="12"/>
      <c r="V279" s="12"/>
      <c r="W279" s="19"/>
      <c r="X279" s="111"/>
    </row>
    <row r="280" spans="1:24" ht="12.75" hidden="1" outlineLevel="1">
      <c r="A280" s="60"/>
      <c r="B280" s="61"/>
      <c r="C280" s="135">
        <v>2.3</v>
      </c>
      <c r="D280" s="63">
        <f>+C280*C279*B279</f>
        <v>-4.83</v>
      </c>
      <c r="E280" s="77"/>
      <c r="F280" s="33"/>
      <c r="G280" s="42"/>
      <c r="H280" s="43"/>
      <c r="I280" s="43"/>
      <c r="J280" s="36"/>
      <c r="K280" s="37">
        <f t="shared" si="21"/>
      </c>
      <c r="L280" s="31"/>
      <c r="M280" s="72"/>
      <c r="N280" s="73"/>
      <c r="O280" s="74"/>
      <c r="P280" s="75"/>
      <c r="Q280" s="76"/>
      <c r="S280" s="110"/>
      <c r="T280" s="12"/>
      <c r="U280" s="12"/>
      <c r="V280" s="12"/>
      <c r="W280" s="19"/>
      <c r="X280" s="111"/>
    </row>
    <row r="281" spans="1:24" ht="12.75" hidden="1" outlineLevel="1">
      <c r="A281" s="60"/>
      <c r="B281" s="61">
        <v>-1</v>
      </c>
      <c r="C281" s="62">
        <v>0.9</v>
      </c>
      <c r="D281" s="63"/>
      <c r="E281" s="77"/>
      <c r="F281" s="33"/>
      <c r="G281" s="42"/>
      <c r="H281" s="43"/>
      <c r="I281" s="43"/>
      <c r="J281" s="36"/>
      <c r="K281" s="37">
        <f t="shared" si="21"/>
      </c>
      <c r="L281" s="31"/>
      <c r="M281" s="72"/>
      <c r="N281" s="73"/>
      <c r="O281" s="74"/>
      <c r="P281" s="75"/>
      <c r="Q281" s="76"/>
      <c r="S281" s="110"/>
      <c r="T281" s="12"/>
      <c r="U281" s="12"/>
      <c r="V281" s="12"/>
      <c r="W281" s="19"/>
      <c r="X281" s="111"/>
    </row>
    <row r="282" spans="1:24" ht="12.75" hidden="1" outlineLevel="1">
      <c r="A282" s="60"/>
      <c r="B282" s="61"/>
      <c r="C282" s="135">
        <v>2.1</v>
      </c>
      <c r="D282" s="63">
        <f>+C282*C281*B281</f>
        <v>-1.8900000000000001</v>
      </c>
      <c r="E282" s="77"/>
      <c r="F282" s="33"/>
      <c r="G282" s="42"/>
      <c r="H282" s="43"/>
      <c r="I282" s="43"/>
      <c r="J282" s="36"/>
      <c r="K282" s="37">
        <f t="shared" si="21"/>
      </c>
      <c r="L282" s="31"/>
      <c r="M282" s="72"/>
      <c r="N282" s="73"/>
      <c r="O282" s="74"/>
      <c r="P282" s="75"/>
      <c r="Q282" s="76"/>
      <c r="S282" s="110"/>
      <c r="T282" s="12"/>
      <c r="U282" s="12"/>
      <c r="V282" s="12"/>
      <c r="W282" s="19"/>
      <c r="X282" s="111"/>
    </row>
    <row r="283" spans="1:24" ht="12.75" hidden="1" outlineLevel="1">
      <c r="A283" s="60"/>
      <c r="B283" s="61">
        <v>-1</v>
      </c>
      <c r="C283" s="62">
        <v>2.3</v>
      </c>
      <c r="D283" s="63"/>
      <c r="E283" s="77"/>
      <c r="F283" s="33"/>
      <c r="G283" s="42"/>
      <c r="H283" s="43"/>
      <c r="I283" s="43"/>
      <c r="J283" s="36"/>
      <c r="K283" s="37">
        <f t="shared" si="21"/>
      </c>
      <c r="L283" s="31"/>
      <c r="M283" s="72"/>
      <c r="N283" s="73"/>
      <c r="O283" s="74"/>
      <c r="P283" s="75"/>
      <c r="Q283" s="76"/>
      <c r="S283" s="110"/>
      <c r="T283" s="12"/>
      <c r="U283" s="12"/>
      <c r="V283" s="12"/>
      <c r="W283" s="19"/>
      <c r="X283" s="111"/>
    </row>
    <row r="284" spans="1:24" ht="12.75" hidden="1" outlineLevel="1">
      <c r="A284" s="60"/>
      <c r="B284" s="61"/>
      <c r="C284" s="135">
        <v>2.1</v>
      </c>
      <c r="D284" s="63">
        <f>+C284*C283*B283</f>
        <v>-4.83</v>
      </c>
      <c r="E284" s="77"/>
      <c r="F284" s="33"/>
      <c r="G284" s="42"/>
      <c r="H284" s="43"/>
      <c r="I284" s="43"/>
      <c r="J284" s="36"/>
      <c r="K284" s="37">
        <f t="shared" si="21"/>
      </c>
      <c r="L284" s="31"/>
      <c r="M284" s="72"/>
      <c r="N284" s="73"/>
      <c r="O284" s="74"/>
      <c r="P284" s="75"/>
      <c r="Q284" s="76"/>
      <c r="S284" s="110"/>
      <c r="T284" s="12"/>
      <c r="U284" s="12"/>
      <c r="V284" s="12"/>
      <c r="W284" s="19"/>
      <c r="X284" s="111"/>
    </row>
    <row r="285" spans="1:24" ht="12.75" hidden="1" outlineLevel="1">
      <c r="A285" s="60"/>
      <c r="B285" s="61"/>
      <c r="C285" s="62"/>
      <c r="D285" s="63"/>
      <c r="E285" s="77"/>
      <c r="F285" s="33"/>
      <c r="G285" s="42"/>
      <c r="H285" s="43"/>
      <c r="I285" s="43"/>
      <c r="J285" s="36"/>
      <c r="K285" s="37">
        <f t="shared" si="21"/>
      </c>
      <c r="L285" s="31"/>
      <c r="M285" s="72"/>
      <c r="N285" s="73"/>
      <c r="O285" s="74"/>
      <c r="P285" s="75"/>
      <c r="Q285" s="76"/>
      <c r="S285" s="110"/>
      <c r="T285" s="12"/>
      <c r="U285" s="12"/>
      <c r="V285" s="12"/>
      <c r="W285" s="19"/>
      <c r="X285" s="111"/>
    </row>
    <row r="286" spans="1:24" ht="12.75" hidden="1" outlineLevel="1">
      <c r="A286" s="60"/>
      <c r="B286" s="61"/>
      <c r="C286" s="62"/>
      <c r="D286" s="65">
        <f>SUM(D267:D285)</f>
        <v>134.27000000000004</v>
      </c>
      <c r="E286" s="77"/>
      <c r="F286" s="33"/>
      <c r="G286" s="42"/>
      <c r="H286" s="43"/>
      <c r="I286" s="43"/>
      <c r="J286" s="36"/>
      <c r="K286" s="37">
        <f t="shared" si="21"/>
      </c>
      <c r="L286" s="31"/>
      <c r="M286" s="72"/>
      <c r="N286" s="73"/>
      <c r="O286" s="74"/>
      <c r="P286" s="75"/>
      <c r="Q286" s="76"/>
      <c r="S286" s="110"/>
      <c r="T286" s="12"/>
      <c r="U286" s="12"/>
      <c r="V286" s="12"/>
      <c r="W286" s="19"/>
      <c r="X286" s="111"/>
    </row>
    <row r="287" spans="1:24" ht="12.75" hidden="1" outlineLevel="1">
      <c r="A287" s="60"/>
      <c r="B287" s="61"/>
      <c r="C287" s="62"/>
      <c r="D287" s="65"/>
      <c r="E287" s="77"/>
      <c r="F287" s="33"/>
      <c r="G287" s="42"/>
      <c r="H287" s="43"/>
      <c r="I287" s="43"/>
      <c r="J287" s="36"/>
      <c r="K287" s="37">
        <f t="shared" si="21"/>
      </c>
      <c r="L287" s="31"/>
      <c r="M287" s="72"/>
      <c r="N287" s="73"/>
      <c r="O287" s="74"/>
      <c r="P287" s="75"/>
      <c r="Q287" s="76"/>
      <c r="S287" s="110"/>
      <c r="T287" s="12"/>
      <c r="U287" s="12"/>
      <c r="V287" s="12"/>
      <c r="W287" s="19"/>
      <c r="X287" s="111"/>
    </row>
    <row r="288" spans="1:24" ht="25.5" hidden="1" outlineLevel="1">
      <c r="A288" s="60"/>
      <c r="B288" s="61"/>
      <c r="C288" s="62"/>
      <c r="D288" s="65"/>
      <c r="E288" s="44" t="s">
        <v>328</v>
      </c>
      <c r="F288" s="33">
        <v>30</v>
      </c>
      <c r="G288" s="42" t="s">
        <v>108</v>
      </c>
      <c r="H288" s="43">
        <v>0.1</v>
      </c>
      <c r="I288" s="43"/>
      <c r="J288" s="36">
        <f>IF(+I288+H288&gt;0,I288+(H288*labour),"")</f>
        <v>3</v>
      </c>
      <c r="K288" s="37">
        <f t="shared" si="21"/>
        <v>90</v>
      </c>
      <c r="L288" s="31"/>
      <c r="M288" s="72"/>
      <c r="N288" s="73"/>
      <c r="O288" s="74"/>
      <c r="P288" s="75"/>
      <c r="Q288" s="76"/>
      <c r="S288" s="110"/>
      <c r="T288" s="12"/>
      <c r="U288" s="12"/>
      <c r="V288" s="12"/>
      <c r="W288" s="19"/>
      <c r="X288" s="111"/>
    </row>
    <row r="289" spans="1:24" ht="12.75" hidden="1" outlineLevel="1">
      <c r="A289" s="60"/>
      <c r="B289" s="61"/>
      <c r="C289" s="62"/>
      <c r="D289" s="65"/>
      <c r="E289" s="77"/>
      <c r="F289" s="33"/>
      <c r="G289" s="42"/>
      <c r="H289" s="43"/>
      <c r="I289" s="43"/>
      <c r="J289" s="36"/>
      <c r="K289" s="37">
        <f t="shared" si="21"/>
      </c>
      <c r="L289" s="31"/>
      <c r="M289" s="72"/>
      <c r="N289" s="73"/>
      <c r="O289" s="74"/>
      <c r="P289" s="75"/>
      <c r="Q289" s="76"/>
      <c r="S289" s="110"/>
      <c r="T289" s="12"/>
      <c r="U289" s="12"/>
      <c r="V289" s="12"/>
      <c r="W289" s="19"/>
      <c r="X289" s="111"/>
    </row>
    <row r="290" spans="1:24" ht="25.5" hidden="1" outlineLevel="1">
      <c r="A290" s="60"/>
      <c r="B290" s="61"/>
      <c r="C290" s="62"/>
      <c r="D290" s="65"/>
      <c r="E290" s="44" t="s">
        <v>327</v>
      </c>
      <c r="F290" s="33">
        <v>20</v>
      </c>
      <c r="G290" s="42" t="s">
        <v>108</v>
      </c>
      <c r="H290" s="43"/>
      <c r="I290" s="43"/>
      <c r="J290" s="36">
        <v>75</v>
      </c>
      <c r="K290" s="37">
        <f t="shared" si="21"/>
        <v>1500</v>
      </c>
      <c r="L290" s="31" t="s">
        <v>326</v>
      </c>
      <c r="M290" s="72"/>
      <c r="N290" s="73"/>
      <c r="O290" s="74"/>
      <c r="P290" s="75"/>
      <c r="Q290" s="76"/>
      <c r="S290" s="110"/>
      <c r="T290" s="12"/>
      <c r="U290" s="12"/>
      <c r="V290" s="12"/>
      <c r="W290" s="19"/>
      <c r="X290" s="111"/>
    </row>
    <row r="291" spans="1:24" ht="12.75" hidden="1" outlineLevel="1">
      <c r="A291" s="60"/>
      <c r="B291" s="61"/>
      <c r="C291" s="62"/>
      <c r="D291" s="65"/>
      <c r="E291" s="77"/>
      <c r="F291" s="33"/>
      <c r="G291" s="42"/>
      <c r="H291" s="43"/>
      <c r="I291" s="43"/>
      <c r="J291" s="36"/>
      <c r="K291" s="37">
        <f t="shared" si="21"/>
      </c>
      <c r="L291" s="31"/>
      <c r="M291" s="72"/>
      <c r="N291" s="73"/>
      <c r="O291" s="74"/>
      <c r="P291" s="75"/>
      <c r="Q291" s="76"/>
      <c r="S291" s="110"/>
      <c r="T291" s="12"/>
      <c r="U291" s="12"/>
      <c r="V291" s="12"/>
      <c r="W291" s="19"/>
      <c r="X291" s="111"/>
    </row>
    <row r="292" spans="1:24" ht="25.5" hidden="1" outlineLevel="1">
      <c r="A292" s="60"/>
      <c r="B292" s="61"/>
      <c r="C292" s="62"/>
      <c r="D292" s="65"/>
      <c r="E292" s="44" t="s">
        <v>329</v>
      </c>
      <c r="F292" s="33" t="s">
        <v>1</v>
      </c>
      <c r="G292" s="42"/>
      <c r="H292" s="43">
        <v>8</v>
      </c>
      <c r="I292" s="43">
        <v>150</v>
      </c>
      <c r="J292" s="36">
        <f>IF(+I292+H292&gt;0,I292+(H292*labour),"")</f>
        <v>390</v>
      </c>
      <c r="K292" s="37">
        <f t="shared" si="21"/>
        <v>390</v>
      </c>
      <c r="L292" s="31"/>
      <c r="M292" s="72"/>
      <c r="N292" s="73"/>
      <c r="O292" s="74"/>
      <c r="P292" s="75"/>
      <c r="Q292" s="76"/>
      <c r="S292" s="110"/>
      <c r="T292" s="12"/>
      <c r="U292" s="12"/>
      <c r="V292" s="12"/>
      <c r="W292" s="19"/>
      <c r="X292" s="111"/>
    </row>
    <row r="293" spans="1:24" ht="12.75" hidden="1" outlineLevel="1">
      <c r="A293" s="60"/>
      <c r="B293" s="61"/>
      <c r="C293" s="62"/>
      <c r="D293" s="65"/>
      <c r="E293" s="77"/>
      <c r="F293" s="33"/>
      <c r="G293" s="42"/>
      <c r="H293" s="43"/>
      <c r="I293" s="43"/>
      <c r="J293" s="36"/>
      <c r="K293" s="37">
        <f t="shared" si="21"/>
      </c>
      <c r="L293" s="31"/>
      <c r="M293" s="72"/>
      <c r="N293" s="73"/>
      <c r="O293" s="74"/>
      <c r="P293" s="75"/>
      <c r="Q293" s="76"/>
      <c r="S293" s="110"/>
      <c r="T293" s="12"/>
      <c r="U293" s="12"/>
      <c r="V293" s="12"/>
      <c r="W293" s="19"/>
      <c r="X293" s="111"/>
    </row>
    <row r="294" spans="1:24" ht="25.5" hidden="1" outlineLevel="1">
      <c r="A294" s="60"/>
      <c r="B294" s="61"/>
      <c r="C294" s="62"/>
      <c r="D294" s="65"/>
      <c r="E294" s="44" t="s">
        <v>331</v>
      </c>
      <c r="F294" s="33">
        <f>+ROUND(D297,0)</f>
        <v>32</v>
      </c>
      <c r="G294" s="42" t="s">
        <v>108</v>
      </c>
      <c r="H294" s="43"/>
      <c r="I294" s="43"/>
      <c r="J294" s="36">
        <v>25</v>
      </c>
      <c r="K294" s="37">
        <f t="shared" si="21"/>
        <v>800</v>
      </c>
      <c r="L294" s="31"/>
      <c r="M294" s="72"/>
      <c r="N294" s="73"/>
      <c r="O294" s="74"/>
      <c r="P294" s="75"/>
      <c r="Q294" s="76"/>
      <c r="S294" s="110"/>
      <c r="T294" s="12"/>
      <c r="U294" s="12"/>
      <c r="V294" s="12"/>
      <c r="W294" s="19"/>
      <c r="X294" s="111"/>
    </row>
    <row r="295" spans="1:24" ht="12.75" hidden="1" outlineLevel="1">
      <c r="A295" s="60"/>
      <c r="B295" s="61">
        <v>4</v>
      </c>
      <c r="C295" s="135">
        <v>8</v>
      </c>
      <c r="D295" s="63">
        <f>+C295*B295</f>
        <v>32</v>
      </c>
      <c r="E295" s="77"/>
      <c r="F295" s="33"/>
      <c r="G295" s="42"/>
      <c r="H295" s="43"/>
      <c r="I295" s="43"/>
      <c r="J295" s="36"/>
      <c r="K295" s="37">
        <f t="shared" si="21"/>
      </c>
      <c r="L295" s="31"/>
      <c r="M295" s="72"/>
      <c r="N295" s="73"/>
      <c r="O295" s="74"/>
      <c r="P295" s="75"/>
      <c r="Q295" s="76"/>
      <c r="S295" s="110"/>
      <c r="T295" s="12"/>
      <c r="U295" s="12"/>
      <c r="V295" s="12"/>
      <c r="W295" s="19"/>
      <c r="X295" s="111"/>
    </row>
    <row r="296" spans="1:24" ht="12.75" hidden="1" outlineLevel="1">
      <c r="A296" s="60"/>
      <c r="B296" s="61"/>
      <c r="C296" s="62"/>
      <c r="D296" s="65"/>
      <c r="E296" s="77"/>
      <c r="F296" s="33"/>
      <c r="G296" s="42"/>
      <c r="H296" s="43"/>
      <c r="I296" s="43"/>
      <c r="J296" s="36"/>
      <c r="K296" s="37">
        <f t="shared" si="21"/>
      </c>
      <c r="L296" s="31"/>
      <c r="M296" s="33"/>
      <c r="N296" s="42"/>
      <c r="O296" s="36"/>
      <c r="P296" s="37"/>
      <c r="Q296" s="54"/>
      <c r="S296" s="110"/>
      <c r="T296" s="12"/>
      <c r="U296" s="12"/>
      <c r="V296" s="12"/>
      <c r="W296" s="19"/>
      <c r="X296" s="111"/>
    </row>
    <row r="297" spans="1:24" ht="12.75" hidden="1" outlineLevel="1">
      <c r="A297" s="60"/>
      <c r="B297" s="61"/>
      <c r="C297" s="62"/>
      <c r="D297" s="65">
        <f>SUM(D295:D296)</f>
        <v>32</v>
      </c>
      <c r="E297" s="77"/>
      <c r="F297" s="33"/>
      <c r="G297" s="42"/>
      <c r="H297" s="43"/>
      <c r="I297" s="43"/>
      <c r="J297" s="36"/>
      <c r="K297" s="37">
        <f t="shared" si="21"/>
      </c>
      <c r="L297" s="31"/>
      <c r="M297" s="33"/>
      <c r="N297" s="42"/>
      <c r="O297" s="36"/>
      <c r="P297" s="37"/>
      <c r="Q297" s="54"/>
      <c r="S297" s="110"/>
      <c r="T297" s="12"/>
      <c r="U297" s="12"/>
      <c r="V297" s="12"/>
      <c r="W297" s="19"/>
      <c r="X297" s="111"/>
    </row>
    <row r="298" spans="1:24" ht="12.75" hidden="1" outlineLevel="1">
      <c r="A298" s="60"/>
      <c r="B298" s="61"/>
      <c r="C298" s="62"/>
      <c r="D298" s="65"/>
      <c r="E298" s="77"/>
      <c r="F298" s="33"/>
      <c r="G298" s="42"/>
      <c r="H298" s="43"/>
      <c r="I298" s="43"/>
      <c r="J298" s="36"/>
      <c r="K298" s="37">
        <f t="shared" si="21"/>
      </c>
      <c r="L298" s="31"/>
      <c r="M298" s="33"/>
      <c r="N298" s="42"/>
      <c r="O298" s="36"/>
      <c r="P298" s="37"/>
      <c r="Q298" s="54"/>
      <c r="S298" s="110"/>
      <c r="T298" s="12"/>
      <c r="U298" s="12"/>
      <c r="V298" s="12"/>
      <c r="W298" s="19"/>
      <c r="X298" s="111"/>
    </row>
    <row r="299" spans="1:24" ht="12.75" hidden="1" outlineLevel="1">
      <c r="A299" s="60"/>
      <c r="B299" s="61"/>
      <c r="C299" s="62"/>
      <c r="D299" s="65"/>
      <c r="E299" s="44" t="s">
        <v>348</v>
      </c>
      <c r="F299" s="33" t="s">
        <v>1</v>
      </c>
      <c r="G299" s="42"/>
      <c r="H299" s="43"/>
      <c r="I299" s="43"/>
      <c r="J299" s="36">
        <v>500</v>
      </c>
      <c r="K299" s="37">
        <f t="shared" si="21"/>
        <v>500</v>
      </c>
      <c r="L299" s="31"/>
      <c r="M299" s="33"/>
      <c r="N299" s="42"/>
      <c r="O299" s="36"/>
      <c r="P299" s="37"/>
      <c r="Q299" s="54"/>
      <c r="S299" s="110"/>
      <c r="T299" s="12"/>
      <c r="U299" s="12"/>
      <c r="V299" s="12"/>
      <c r="W299" s="19"/>
      <c r="X299" s="111"/>
    </row>
    <row r="300" spans="1:24" ht="12.75" hidden="1" outlineLevel="1">
      <c r="A300" s="60"/>
      <c r="B300" s="61"/>
      <c r="C300" s="62"/>
      <c r="D300" s="65"/>
      <c r="E300" s="77"/>
      <c r="F300" s="33"/>
      <c r="G300" s="42"/>
      <c r="H300" s="43"/>
      <c r="I300" s="43"/>
      <c r="J300" s="36"/>
      <c r="K300" s="37"/>
      <c r="L300" s="31"/>
      <c r="M300" s="33"/>
      <c r="N300" s="42"/>
      <c r="O300" s="36"/>
      <c r="P300" s="37"/>
      <c r="Q300" s="54"/>
      <c r="S300" s="110"/>
      <c r="T300" s="12"/>
      <c r="U300" s="12"/>
      <c r="V300" s="12"/>
      <c r="W300" s="19"/>
      <c r="X300" s="111"/>
    </row>
    <row r="301" spans="1:24" ht="12.75" hidden="1" outlineLevel="1">
      <c r="A301" s="60"/>
      <c r="B301" s="61"/>
      <c r="C301" s="62"/>
      <c r="D301" s="65"/>
      <c r="E301" s="44" t="s">
        <v>332</v>
      </c>
      <c r="F301" s="33">
        <f>ROUND(SUM(D267:D275),0)</f>
        <v>163</v>
      </c>
      <c r="G301" s="42" t="s">
        <v>35</v>
      </c>
      <c r="H301" s="43"/>
      <c r="I301" s="43"/>
      <c r="J301" s="36">
        <v>15</v>
      </c>
      <c r="K301" s="37">
        <f>+IF(F301="item",J301,IF(F301&lt;&gt;0,F301*J301,""))</f>
        <v>2445</v>
      </c>
      <c r="L301" s="31"/>
      <c r="M301" s="33"/>
      <c r="N301" s="42"/>
      <c r="O301" s="36"/>
      <c r="P301" s="37"/>
      <c r="Q301" s="54"/>
      <c r="S301" s="110"/>
      <c r="T301" s="12"/>
      <c r="U301" s="12"/>
      <c r="V301" s="12"/>
      <c r="W301" s="19"/>
      <c r="X301" s="111"/>
    </row>
    <row r="302" spans="1:24" ht="12.75" hidden="1" outlineLevel="1">
      <c r="A302" s="60"/>
      <c r="B302" s="61"/>
      <c r="C302" s="62"/>
      <c r="D302" s="65"/>
      <c r="E302" s="44"/>
      <c r="F302" s="33"/>
      <c r="G302" s="42"/>
      <c r="H302" s="43"/>
      <c r="I302" s="43"/>
      <c r="J302" s="36"/>
      <c r="K302" s="37"/>
      <c r="L302" s="31"/>
      <c r="M302" s="33"/>
      <c r="N302" s="42"/>
      <c r="O302" s="36"/>
      <c r="P302" s="37"/>
      <c r="Q302" s="54"/>
      <c r="S302" s="110"/>
      <c r="T302" s="12"/>
      <c r="U302" s="12"/>
      <c r="V302" s="12"/>
      <c r="W302" s="19"/>
      <c r="X302" s="111"/>
    </row>
    <row r="303" spans="1:24" ht="12.75" hidden="1" outlineLevel="1">
      <c r="A303" s="60"/>
      <c r="B303" s="61"/>
      <c r="C303" s="62"/>
      <c r="D303" s="65"/>
      <c r="E303" s="38" t="s">
        <v>362</v>
      </c>
      <c r="F303" s="33">
        <v>10</v>
      </c>
      <c r="G303" s="34" t="s">
        <v>363</v>
      </c>
      <c r="H303" s="39"/>
      <c r="I303" s="164"/>
      <c r="J303" s="39">
        <f>SUM(K266:K302)</f>
        <v>25825</v>
      </c>
      <c r="K303" s="37">
        <f>+J303*F303%</f>
        <v>2582.5</v>
      </c>
      <c r="L303" s="31"/>
      <c r="M303" s="33"/>
      <c r="N303" s="42"/>
      <c r="O303" s="36"/>
      <c r="P303" s="37"/>
      <c r="Q303" s="54"/>
      <c r="S303" s="110"/>
      <c r="T303" s="12"/>
      <c r="U303" s="12"/>
      <c r="V303" s="12"/>
      <c r="W303" s="19"/>
      <c r="X303" s="111"/>
    </row>
    <row r="304" spans="1:24" ht="12.75" hidden="1" outlineLevel="1">
      <c r="A304" s="60"/>
      <c r="B304" s="61"/>
      <c r="C304" s="62"/>
      <c r="D304" s="65"/>
      <c r="E304" s="77"/>
      <c r="F304" s="33"/>
      <c r="G304" s="42"/>
      <c r="H304" s="43"/>
      <c r="I304" s="43"/>
      <c r="J304" s="36"/>
      <c r="K304" s="37">
        <f>+IF(F304="item",J304,IF(F304&lt;&gt;0,F304*J304,""))</f>
      </c>
      <c r="L304" s="31"/>
      <c r="M304" s="33"/>
      <c r="N304" s="42"/>
      <c r="O304" s="36"/>
      <c r="P304" s="37"/>
      <c r="Q304" s="54"/>
      <c r="S304" s="110"/>
      <c r="T304" s="12"/>
      <c r="U304" s="12"/>
      <c r="V304" s="12"/>
      <c r="W304" s="19"/>
      <c r="X304" s="111"/>
    </row>
    <row r="305" spans="1:24" ht="12.75" hidden="1" outlineLevel="1">
      <c r="A305" s="60"/>
      <c r="B305" s="61"/>
      <c r="C305" s="62"/>
      <c r="D305" s="65"/>
      <c r="E305" s="77"/>
      <c r="F305" s="33"/>
      <c r="G305" s="42"/>
      <c r="H305" s="43"/>
      <c r="I305" s="43"/>
      <c r="J305" s="36"/>
      <c r="K305" s="37">
        <f>+IF(F305="item",J305,IF(F305&lt;&gt;0,F305*J305,""))</f>
      </c>
      <c r="L305" s="31"/>
      <c r="M305" s="33"/>
      <c r="N305" s="42"/>
      <c r="O305" s="36"/>
      <c r="P305" s="37"/>
      <c r="Q305" s="54"/>
      <c r="S305" s="110"/>
      <c r="T305" s="12"/>
      <c r="U305" s="12"/>
      <c r="V305" s="12"/>
      <c r="W305" s="19"/>
      <c r="X305" s="111"/>
    </row>
    <row r="306" spans="1:24" ht="12.75" collapsed="1">
      <c r="A306" s="60"/>
      <c r="B306" s="61"/>
      <c r="C306" s="62"/>
      <c r="D306" s="65"/>
      <c r="E306" s="77"/>
      <c r="F306" s="33"/>
      <c r="G306" s="42"/>
      <c r="H306" s="43"/>
      <c r="I306" s="43"/>
      <c r="J306" s="36"/>
      <c r="K306" s="37">
        <f>+IF(F306="item",J306,IF(F306&lt;&gt;0,F306*J306,""))</f>
      </c>
      <c r="L306" s="31"/>
      <c r="M306" s="72"/>
      <c r="N306" s="73"/>
      <c r="O306" s="74"/>
      <c r="P306" s="75">
        <f>+IF(M306="item",O306,IF(M306&lt;&gt;0,M306*O306,""))</f>
      </c>
      <c r="Q306" s="76"/>
      <c r="S306" s="110"/>
      <c r="T306" s="12"/>
      <c r="U306" s="12"/>
      <c r="V306" s="12"/>
      <c r="W306" s="19"/>
      <c r="X306" s="111"/>
    </row>
    <row r="307" spans="1:24" ht="12.75">
      <c r="A307" s="60"/>
      <c r="B307" s="61"/>
      <c r="C307" s="62"/>
      <c r="D307" s="65"/>
      <c r="E307" s="77"/>
      <c r="F307" s="33"/>
      <c r="G307" s="42"/>
      <c r="H307" s="43"/>
      <c r="I307" s="43"/>
      <c r="J307" s="36"/>
      <c r="K307" s="37">
        <f>+IF(F307="item",J307,IF(F307&lt;&gt;0,F307*J307,""))</f>
      </c>
      <c r="L307" s="31"/>
      <c r="M307" s="33"/>
      <c r="N307" s="42"/>
      <c r="O307" s="36"/>
      <c r="P307" s="37"/>
      <c r="Q307" s="54"/>
      <c r="S307" s="110"/>
      <c r="T307" s="12"/>
      <c r="U307" s="12"/>
      <c r="V307" s="12"/>
      <c r="W307" s="19"/>
      <c r="X307" s="111"/>
    </row>
    <row r="308" spans="1:24" ht="51">
      <c r="A308" s="60"/>
      <c r="B308" s="61"/>
      <c r="C308" s="62"/>
      <c r="D308" s="65"/>
      <c r="E308" s="77" t="s">
        <v>143</v>
      </c>
      <c r="F308" s="33"/>
      <c r="G308" s="42"/>
      <c r="H308" s="43"/>
      <c r="I308" s="43"/>
      <c r="J308" s="36"/>
      <c r="K308" s="53">
        <f>SUM(K310:K367)</f>
        <v>8545.785875000001</v>
      </c>
      <c r="L308" s="31" t="s">
        <v>393</v>
      </c>
      <c r="M308" s="72"/>
      <c r="N308" s="73"/>
      <c r="O308" s="74"/>
      <c r="P308" s="75">
        <f>+IF(M308="item",O308,IF(M308&lt;&gt;0,M308*O308,""))</f>
      </c>
      <c r="Q308" s="76"/>
      <c r="S308" s="110"/>
      <c r="T308" s="12"/>
      <c r="U308" s="12"/>
      <c r="V308" s="12"/>
      <c r="W308" s="19"/>
      <c r="X308" s="116" t="s">
        <v>265</v>
      </c>
    </row>
    <row r="309" spans="1:24" ht="12.75">
      <c r="A309" s="60"/>
      <c r="B309" s="61"/>
      <c r="C309" s="62"/>
      <c r="D309" s="65"/>
      <c r="E309" s="44"/>
      <c r="F309" s="33"/>
      <c r="G309" s="42"/>
      <c r="H309" s="43"/>
      <c r="I309" s="43"/>
      <c r="J309" s="36">
        <f>IF(+I309+H309&gt;0,I309+(H309*labour),"")</f>
      </c>
      <c r="K309" s="37">
        <f aca="true" t="shared" si="22" ref="K309:K339">+IF(F309="item",J309,IF(F309&lt;&gt;0,F309*J309,""))</f>
      </c>
      <c r="L309" s="31"/>
      <c r="M309" s="72"/>
      <c r="N309" s="73"/>
      <c r="O309" s="74"/>
      <c r="P309" s="75">
        <f>+IF(M309="item",O309,IF(M309&lt;&gt;0,M309*O309,""))</f>
      </c>
      <c r="Q309" s="76"/>
      <c r="S309" s="110"/>
      <c r="T309" s="12"/>
      <c r="U309" s="12"/>
      <c r="V309" s="12"/>
      <c r="W309" s="19"/>
      <c r="X309" s="111"/>
    </row>
    <row r="310" spans="1:24" ht="12.75" hidden="1" outlineLevel="1">
      <c r="A310" s="60"/>
      <c r="B310" s="61"/>
      <c r="C310" s="62"/>
      <c r="D310" s="65"/>
      <c r="E310" s="44" t="s">
        <v>229</v>
      </c>
      <c r="F310" s="33">
        <f>+ROUND(D328,0)</f>
        <v>106</v>
      </c>
      <c r="G310" s="42" t="s">
        <v>35</v>
      </c>
      <c r="H310" s="43">
        <v>0.25</v>
      </c>
      <c r="I310" s="43">
        <f>+celotex</f>
        <v>8.05</v>
      </c>
      <c r="J310" s="36">
        <f>IF(+I310+H310&gt;0,I310+(H310*labour),"")</f>
        <v>15.55</v>
      </c>
      <c r="K310" s="37">
        <f t="shared" si="22"/>
        <v>1648.3000000000002</v>
      </c>
      <c r="L310" s="31"/>
      <c r="M310" s="72"/>
      <c r="N310" s="73"/>
      <c r="O310" s="74"/>
      <c r="P310" s="75">
        <f>+IF(M310="item",O310,IF(M310&lt;&gt;0,M310*O310,""))</f>
      </c>
      <c r="Q310" s="76"/>
      <c r="S310" s="110"/>
      <c r="T310" s="12"/>
      <c r="U310" s="12"/>
      <c r="V310" s="12"/>
      <c r="W310" s="19"/>
      <c r="X310" s="111"/>
    </row>
    <row r="311" spans="1:24" ht="12.75" hidden="1" outlineLevel="1">
      <c r="A311" s="60"/>
      <c r="B311" s="61">
        <v>2</v>
      </c>
      <c r="C311" s="62">
        <v>7.2</v>
      </c>
      <c r="D311" s="65"/>
      <c r="E311" s="44"/>
      <c r="F311" s="33"/>
      <c r="G311" s="42"/>
      <c r="H311" s="43"/>
      <c r="I311" s="43"/>
      <c r="J311" s="36"/>
      <c r="K311" s="37"/>
      <c r="L311" s="31"/>
      <c r="M311" s="72"/>
      <c r="N311" s="73"/>
      <c r="O311" s="74"/>
      <c r="P311" s="75"/>
      <c r="Q311" s="76"/>
      <c r="S311" s="110"/>
      <c r="T311" s="12"/>
      <c r="U311" s="12"/>
      <c r="V311" s="12"/>
      <c r="W311" s="19"/>
      <c r="X311" s="111"/>
    </row>
    <row r="312" spans="1:24" ht="12.75" hidden="1" outlineLevel="1">
      <c r="A312" s="60"/>
      <c r="B312" s="61"/>
      <c r="C312" s="135">
        <v>5</v>
      </c>
      <c r="D312" s="63">
        <f>+C312*C311*B311</f>
        <v>72</v>
      </c>
      <c r="E312" s="44"/>
      <c r="F312" s="33"/>
      <c r="G312" s="42"/>
      <c r="H312" s="43"/>
      <c r="I312" s="43"/>
      <c r="J312" s="36"/>
      <c r="K312" s="37"/>
      <c r="L312" s="31"/>
      <c r="M312" s="72"/>
      <c r="N312" s="73"/>
      <c r="O312" s="74"/>
      <c r="P312" s="75"/>
      <c r="Q312" s="76"/>
      <c r="S312" s="110"/>
      <c r="T312" s="12"/>
      <c r="U312" s="12"/>
      <c r="V312" s="12"/>
      <c r="W312" s="19"/>
      <c r="X312" s="111"/>
    </row>
    <row r="313" spans="1:24" ht="12.75" hidden="1" outlineLevel="1">
      <c r="A313" s="60"/>
      <c r="B313" s="61">
        <v>2</v>
      </c>
      <c r="C313" s="62">
        <v>5.8</v>
      </c>
      <c r="D313" s="65"/>
      <c r="E313" s="44"/>
      <c r="F313" s="33"/>
      <c r="G313" s="42"/>
      <c r="H313" s="43"/>
      <c r="I313" s="43"/>
      <c r="J313" s="36"/>
      <c r="K313" s="37"/>
      <c r="L313" s="31"/>
      <c r="M313" s="72"/>
      <c r="N313" s="73"/>
      <c r="O313" s="74"/>
      <c r="P313" s="75"/>
      <c r="Q313" s="76"/>
      <c r="S313" s="110"/>
      <c r="T313" s="12"/>
      <c r="U313" s="12"/>
      <c r="V313" s="12"/>
      <c r="W313" s="19"/>
      <c r="X313" s="111"/>
    </row>
    <row r="314" spans="1:24" ht="12.75" hidden="1" outlineLevel="1">
      <c r="A314" s="60"/>
      <c r="B314" s="61"/>
      <c r="C314" s="135">
        <v>5</v>
      </c>
      <c r="D314" s="63">
        <f>+C314*C313*B313</f>
        <v>58</v>
      </c>
      <c r="E314" s="44"/>
      <c r="F314" s="33"/>
      <c r="G314" s="42"/>
      <c r="H314" s="43"/>
      <c r="I314" s="43"/>
      <c r="J314" s="36"/>
      <c r="K314" s="37"/>
      <c r="L314" s="31"/>
      <c r="M314" s="72"/>
      <c r="N314" s="73"/>
      <c r="O314" s="74"/>
      <c r="P314" s="75"/>
      <c r="Q314" s="76"/>
      <c r="S314" s="110"/>
      <c r="T314" s="12"/>
      <c r="U314" s="12"/>
      <c r="V314" s="12"/>
      <c r="W314" s="19"/>
      <c r="X314" s="111"/>
    </row>
    <row r="315" spans="1:24" ht="12.75" hidden="1" outlineLevel="1">
      <c r="A315" s="60"/>
      <c r="B315" s="61">
        <v>2</v>
      </c>
      <c r="C315" s="62">
        <v>1</v>
      </c>
      <c r="D315" s="65"/>
      <c r="E315" s="44"/>
      <c r="F315" s="33"/>
      <c r="G315" s="42"/>
      <c r="H315" s="43"/>
      <c r="I315" s="43"/>
      <c r="J315" s="36"/>
      <c r="K315" s="37">
        <f t="shared" si="22"/>
      </c>
      <c r="L315" s="31"/>
      <c r="M315" s="72"/>
      <c r="N315" s="73"/>
      <c r="O315" s="74"/>
      <c r="P315" s="75"/>
      <c r="Q315" s="76"/>
      <c r="S315" s="110"/>
      <c r="T315" s="12"/>
      <c r="U315" s="12"/>
      <c r="V315" s="12"/>
      <c r="W315" s="19"/>
      <c r="X315" s="111"/>
    </row>
    <row r="316" spans="1:24" ht="12.75" hidden="1" outlineLevel="1">
      <c r="A316" s="60"/>
      <c r="B316" s="61"/>
      <c r="C316" s="135">
        <v>2.4</v>
      </c>
      <c r="D316" s="63">
        <f>+C316*C315*B315</f>
        <v>4.8</v>
      </c>
      <c r="E316" s="44"/>
      <c r="F316" s="33"/>
      <c r="G316" s="42"/>
      <c r="H316" s="43"/>
      <c r="I316" s="43"/>
      <c r="J316" s="36"/>
      <c r="K316" s="37">
        <f t="shared" si="22"/>
      </c>
      <c r="L316" s="31"/>
      <c r="M316" s="72"/>
      <c r="N316" s="73"/>
      <c r="O316" s="74"/>
      <c r="P316" s="75"/>
      <c r="Q316" s="76"/>
      <c r="S316" s="110"/>
      <c r="T316" s="12"/>
      <c r="U316" s="12"/>
      <c r="V316" s="12"/>
      <c r="W316" s="19"/>
      <c r="X316" s="111"/>
    </row>
    <row r="317" spans="1:24" ht="12.75" hidden="1" outlineLevel="1">
      <c r="A317" s="60"/>
      <c r="B317" s="61">
        <v>-4</v>
      </c>
      <c r="C317" s="62">
        <v>1.2</v>
      </c>
      <c r="D317" s="63"/>
      <c r="E317" s="77"/>
      <c r="F317" s="33"/>
      <c r="G317" s="42"/>
      <c r="H317" s="43"/>
      <c r="I317" s="43"/>
      <c r="J317" s="36"/>
      <c r="K317" s="37">
        <f t="shared" si="22"/>
      </c>
      <c r="L317" s="31"/>
      <c r="M317" s="72"/>
      <c r="N317" s="73"/>
      <c r="O317" s="74"/>
      <c r="P317" s="75"/>
      <c r="Q317" s="76"/>
      <c r="S317" s="110"/>
      <c r="T317" s="12"/>
      <c r="U317" s="12"/>
      <c r="V317" s="12"/>
      <c r="W317" s="19"/>
      <c r="X317" s="111"/>
    </row>
    <row r="318" spans="1:24" ht="12.75" hidden="1" outlineLevel="1">
      <c r="A318" s="60"/>
      <c r="B318" s="61"/>
      <c r="C318" s="135">
        <v>1.2</v>
      </c>
      <c r="D318" s="63">
        <f>+C318*C317*B317</f>
        <v>-5.76</v>
      </c>
      <c r="E318" s="77"/>
      <c r="F318" s="33"/>
      <c r="G318" s="42"/>
      <c r="H318" s="43"/>
      <c r="I318" s="43"/>
      <c r="J318" s="36"/>
      <c r="K318" s="37">
        <f t="shared" si="22"/>
      </c>
      <c r="L318" s="31"/>
      <c r="M318" s="72"/>
      <c r="N318" s="73"/>
      <c r="O318" s="74"/>
      <c r="P318" s="75"/>
      <c r="Q318" s="76"/>
      <c r="S318" s="110"/>
      <c r="T318" s="12"/>
      <c r="U318" s="12"/>
      <c r="V318" s="12"/>
      <c r="W318" s="19"/>
      <c r="X318" s="111"/>
    </row>
    <row r="319" spans="1:24" ht="12.75" hidden="1" outlineLevel="1">
      <c r="A319" s="60"/>
      <c r="B319" s="61">
        <v>-4</v>
      </c>
      <c r="C319" s="62">
        <v>2.3</v>
      </c>
      <c r="D319" s="63"/>
      <c r="E319" s="77"/>
      <c r="F319" s="33"/>
      <c r="G319" s="42"/>
      <c r="H319" s="43"/>
      <c r="I319" s="43"/>
      <c r="J319" s="36"/>
      <c r="K319" s="37">
        <f t="shared" si="22"/>
      </c>
      <c r="L319" s="31"/>
      <c r="M319" s="72"/>
      <c r="N319" s="73"/>
      <c r="O319" s="74"/>
      <c r="P319" s="75">
        <f>+IF(M319="item",O319,IF(M319&lt;&gt;0,M319*O319,""))</f>
      </c>
      <c r="Q319" s="76"/>
      <c r="S319" s="110"/>
      <c r="T319" s="12"/>
      <c r="U319" s="12"/>
      <c r="V319" s="12"/>
      <c r="W319" s="19"/>
      <c r="X319" s="111"/>
    </row>
    <row r="320" spans="1:24" ht="12.75" hidden="1" outlineLevel="1">
      <c r="A320" s="60"/>
      <c r="B320" s="61"/>
      <c r="C320" s="135">
        <v>1.2</v>
      </c>
      <c r="D320" s="63">
        <f>+C320*C319*B319</f>
        <v>-11.04</v>
      </c>
      <c r="E320" s="77"/>
      <c r="F320" s="33"/>
      <c r="G320" s="42"/>
      <c r="H320" s="43"/>
      <c r="I320" s="43"/>
      <c r="J320" s="36"/>
      <c r="K320" s="37">
        <f t="shared" si="22"/>
      </c>
      <c r="L320" s="31"/>
      <c r="M320" s="72"/>
      <c r="N320" s="73"/>
      <c r="O320" s="74"/>
      <c r="P320" s="75">
        <f>+IF(M320="item",O320,IF(M320&lt;&gt;0,M320*O320,""))</f>
      </c>
      <c r="Q320" s="76"/>
      <c r="S320" s="110"/>
      <c r="T320" s="12"/>
      <c r="U320" s="12"/>
      <c r="V320" s="12"/>
      <c r="W320" s="19"/>
      <c r="X320" s="111"/>
    </row>
    <row r="321" spans="1:24" ht="12.75" hidden="1" outlineLevel="1">
      <c r="A321" s="60"/>
      <c r="B321" s="61">
        <v>-1</v>
      </c>
      <c r="C321" s="62">
        <v>2.1</v>
      </c>
      <c r="D321" s="63"/>
      <c r="E321" s="77"/>
      <c r="F321" s="33"/>
      <c r="G321" s="42"/>
      <c r="H321" s="43"/>
      <c r="I321" s="43"/>
      <c r="J321" s="36"/>
      <c r="K321" s="37">
        <f t="shared" si="22"/>
      </c>
      <c r="L321" s="31"/>
      <c r="M321" s="72"/>
      <c r="N321" s="73"/>
      <c r="O321" s="74"/>
      <c r="P321" s="75">
        <f>+IF(M321="item",O321,IF(M321&lt;&gt;0,M321*O321,""))</f>
      </c>
      <c r="Q321" s="76"/>
      <c r="S321" s="110"/>
      <c r="T321" s="12"/>
      <c r="U321" s="12"/>
      <c r="V321" s="12"/>
      <c r="W321" s="19"/>
      <c r="X321" s="111"/>
    </row>
    <row r="322" spans="1:24" ht="12.75" hidden="1" outlineLevel="1">
      <c r="A322" s="60"/>
      <c r="B322" s="61"/>
      <c r="C322" s="135">
        <v>2.3</v>
      </c>
      <c r="D322" s="63">
        <f>+C322*C321*B321</f>
        <v>-4.83</v>
      </c>
      <c r="E322" s="77"/>
      <c r="F322" s="33"/>
      <c r="G322" s="42"/>
      <c r="H322" s="43"/>
      <c r="I322" s="43"/>
      <c r="J322" s="36"/>
      <c r="K322" s="37">
        <f t="shared" si="22"/>
      </c>
      <c r="L322" s="31"/>
      <c r="M322" s="72"/>
      <c r="N322" s="73"/>
      <c r="O322" s="74"/>
      <c r="P322" s="75"/>
      <c r="Q322" s="76"/>
      <c r="S322" s="110"/>
      <c r="T322" s="12"/>
      <c r="U322" s="12"/>
      <c r="V322" s="12"/>
      <c r="W322" s="19"/>
      <c r="X322" s="111"/>
    </row>
    <row r="323" spans="1:24" ht="12.75" hidden="1" outlineLevel="1">
      <c r="A323" s="60"/>
      <c r="B323" s="61">
        <v>-1</v>
      </c>
      <c r="C323" s="62">
        <v>0.9</v>
      </c>
      <c r="D323" s="63"/>
      <c r="E323" s="77"/>
      <c r="F323" s="33"/>
      <c r="G323" s="42"/>
      <c r="H323" s="43"/>
      <c r="I323" s="43"/>
      <c r="J323" s="36"/>
      <c r="K323" s="37">
        <f t="shared" si="22"/>
      </c>
      <c r="L323" s="31"/>
      <c r="M323" s="72"/>
      <c r="N323" s="73"/>
      <c r="O323" s="74"/>
      <c r="P323" s="75"/>
      <c r="Q323" s="76"/>
      <c r="S323" s="110"/>
      <c r="T323" s="12"/>
      <c r="U323" s="12"/>
      <c r="V323" s="12"/>
      <c r="W323" s="19"/>
      <c r="X323" s="111"/>
    </row>
    <row r="324" spans="1:24" ht="12.75" hidden="1" outlineLevel="1">
      <c r="A324" s="60"/>
      <c r="B324" s="61"/>
      <c r="C324" s="135">
        <v>2.1</v>
      </c>
      <c r="D324" s="63">
        <f>+C324*C323*B323</f>
        <v>-1.8900000000000001</v>
      </c>
      <c r="E324" s="77"/>
      <c r="F324" s="33"/>
      <c r="G324" s="42"/>
      <c r="H324" s="43"/>
      <c r="I324" s="43"/>
      <c r="J324" s="36"/>
      <c r="K324" s="37">
        <f t="shared" si="22"/>
      </c>
      <c r="L324" s="31"/>
      <c r="M324" s="72"/>
      <c r="N324" s="73"/>
      <c r="O324" s="74"/>
      <c r="P324" s="75"/>
      <c r="Q324" s="76"/>
      <c r="S324" s="110"/>
      <c r="T324" s="12"/>
      <c r="U324" s="12"/>
      <c r="V324" s="12"/>
      <c r="W324" s="19"/>
      <c r="X324" s="111"/>
    </row>
    <row r="325" spans="1:24" ht="12.75" hidden="1" outlineLevel="1">
      <c r="A325" s="60"/>
      <c r="B325" s="61">
        <v>-1</v>
      </c>
      <c r="C325" s="62">
        <v>2.3</v>
      </c>
      <c r="D325" s="63"/>
      <c r="E325" s="77"/>
      <c r="F325" s="33"/>
      <c r="G325" s="42"/>
      <c r="H325" s="43"/>
      <c r="I325" s="43"/>
      <c r="J325" s="36"/>
      <c r="K325" s="37">
        <f t="shared" si="22"/>
      </c>
      <c r="L325" s="31"/>
      <c r="M325" s="72"/>
      <c r="N325" s="73"/>
      <c r="O325" s="74"/>
      <c r="P325" s="75"/>
      <c r="Q325" s="76"/>
      <c r="S325" s="110"/>
      <c r="T325" s="12"/>
      <c r="U325" s="12"/>
      <c r="V325" s="12"/>
      <c r="W325" s="19"/>
      <c r="X325" s="111"/>
    </row>
    <row r="326" spans="1:24" ht="12.75" hidden="1" outlineLevel="1">
      <c r="A326" s="60"/>
      <c r="B326" s="61"/>
      <c r="C326" s="135">
        <v>2.1</v>
      </c>
      <c r="D326" s="63">
        <f>+C326*C325*B325</f>
        <v>-4.83</v>
      </c>
      <c r="E326" s="77"/>
      <c r="F326" s="33"/>
      <c r="G326" s="42"/>
      <c r="H326" s="43"/>
      <c r="I326" s="43"/>
      <c r="J326" s="36"/>
      <c r="K326" s="37">
        <f t="shared" si="22"/>
      </c>
      <c r="L326" s="31"/>
      <c r="M326" s="72"/>
      <c r="N326" s="73"/>
      <c r="O326" s="74"/>
      <c r="P326" s="75"/>
      <c r="Q326" s="76"/>
      <c r="S326" s="110"/>
      <c r="T326" s="12"/>
      <c r="U326" s="12"/>
      <c r="V326" s="12"/>
      <c r="W326" s="19"/>
      <c r="X326" s="111"/>
    </row>
    <row r="327" spans="1:24" ht="12.75" hidden="1" outlineLevel="1">
      <c r="A327" s="60"/>
      <c r="B327" s="61"/>
      <c r="C327" s="62"/>
      <c r="D327" s="65"/>
      <c r="E327" s="44"/>
      <c r="F327" s="33"/>
      <c r="G327" s="42"/>
      <c r="H327" s="43"/>
      <c r="I327" s="43"/>
      <c r="J327" s="36"/>
      <c r="K327" s="37">
        <f t="shared" si="22"/>
      </c>
      <c r="L327" s="31"/>
      <c r="M327" s="72"/>
      <c r="N327" s="73"/>
      <c r="O327" s="74"/>
      <c r="P327" s="75"/>
      <c r="Q327" s="76"/>
      <c r="S327" s="110"/>
      <c r="T327" s="12"/>
      <c r="U327" s="12"/>
      <c r="V327" s="12"/>
      <c r="W327" s="19"/>
      <c r="X327" s="111"/>
    </row>
    <row r="328" spans="1:24" ht="12.75" hidden="1" outlineLevel="1">
      <c r="A328" s="60"/>
      <c r="B328" s="61"/>
      <c r="C328" s="62"/>
      <c r="D328" s="65">
        <f>SUM(D311:D327)</f>
        <v>106.45000000000003</v>
      </c>
      <c r="E328" s="44"/>
      <c r="F328" s="33"/>
      <c r="G328" s="42"/>
      <c r="H328" s="43"/>
      <c r="I328" s="43"/>
      <c r="J328" s="36"/>
      <c r="K328" s="37">
        <f t="shared" si="22"/>
      </c>
      <c r="L328" s="31"/>
      <c r="M328" s="72"/>
      <c r="N328" s="73"/>
      <c r="O328" s="74"/>
      <c r="P328" s="75"/>
      <c r="Q328" s="76"/>
      <c r="S328" s="110"/>
      <c r="T328" s="12"/>
      <c r="U328" s="12"/>
      <c r="V328" s="12"/>
      <c r="W328" s="19"/>
      <c r="X328" s="111"/>
    </row>
    <row r="329" spans="1:24" ht="12.75" hidden="1" outlineLevel="1">
      <c r="A329" s="60"/>
      <c r="B329" s="61"/>
      <c r="C329" s="62"/>
      <c r="D329" s="65"/>
      <c r="E329" s="44"/>
      <c r="F329" s="33"/>
      <c r="G329" s="42"/>
      <c r="H329" s="43"/>
      <c r="I329" s="43"/>
      <c r="J329" s="36"/>
      <c r="K329" s="37">
        <f t="shared" si="22"/>
      </c>
      <c r="L329" s="31"/>
      <c r="M329" s="72"/>
      <c r="N329" s="73"/>
      <c r="O329" s="74"/>
      <c r="P329" s="75"/>
      <c r="Q329" s="76"/>
      <c r="S329" s="110"/>
      <c r="T329" s="12"/>
      <c r="U329" s="12"/>
      <c r="V329" s="12"/>
      <c r="W329" s="19"/>
      <c r="X329" s="111"/>
    </row>
    <row r="330" spans="1:24" ht="12.75" hidden="1" outlineLevel="1">
      <c r="A330" s="60"/>
      <c r="B330" s="61"/>
      <c r="C330" s="62"/>
      <c r="D330" s="65"/>
      <c r="E330" s="44" t="s">
        <v>352</v>
      </c>
      <c r="F330" s="33">
        <f>+ROUND(D328*6,0)</f>
        <v>639</v>
      </c>
      <c r="G330" s="42" t="s">
        <v>108</v>
      </c>
      <c r="H330" s="43">
        <v>0.02</v>
      </c>
      <c r="I330" s="43">
        <f>celotextape</f>
        <v>0.14375000000000004</v>
      </c>
      <c r="J330" s="36">
        <f>IF(+I330+H330&gt;0,I330+(H330*labour),"")</f>
        <v>0.74375</v>
      </c>
      <c r="K330" s="37">
        <f t="shared" si="22"/>
        <v>475.25625</v>
      </c>
      <c r="L330" s="31"/>
      <c r="M330" s="72"/>
      <c r="N330" s="73"/>
      <c r="O330" s="74"/>
      <c r="P330" s="75"/>
      <c r="Q330" s="76"/>
      <c r="S330" s="110"/>
      <c r="T330" s="12"/>
      <c r="U330" s="12"/>
      <c r="V330" s="12"/>
      <c r="W330" s="19"/>
      <c r="X330" s="111"/>
    </row>
    <row r="331" spans="1:24" ht="12.75" hidden="1" outlineLevel="1">
      <c r="A331" s="60"/>
      <c r="B331" s="61"/>
      <c r="C331" s="62"/>
      <c r="D331" s="65"/>
      <c r="E331" s="44"/>
      <c r="F331" s="33"/>
      <c r="G331" s="42"/>
      <c r="H331" s="43"/>
      <c r="I331" s="43"/>
      <c r="J331" s="36"/>
      <c r="K331" s="37">
        <f t="shared" si="22"/>
      </c>
      <c r="L331" s="31"/>
      <c r="M331" s="72"/>
      <c r="N331" s="73"/>
      <c r="O331" s="74"/>
      <c r="P331" s="75"/>
      <c r="Q331" s="76"/>
      <c r="S331" s="110"/>
      <c r="T331" s="12"/>
      <c r="U331" s="12"/>
      <c r="V331" s="12"/>
      <c r="W331" s="19"/>
      <c r="X331" s="111"/>
    </row>
    <row r="332" spans="1:24" ht="25.5" hidden="1" outlineLevel="1">
      <c r="A332" s="60"/>
      <c r="B332" s="61"/>
      <c r="C332" s="62"/>
      <c r="D332" s="65"/>
      <c r="E332" s="44" t="s">
        <v>230</v>
      </c>
      <c r="F332" s="33">
        <f>+F310</f>
        <v>106</v>
      </c>
      <c r="G332" s="42" t="s">
        <v>35</v>
      </c>
      <c r="H332" s="43"/>
      <c r="I332" s="43"/>
      <c r="J332" s="36">
        <v>13.22</v>
      </c>
      <c r="K332" s="37">
        <f t="shared" si="22"/>
        <v>1401.3200000000002</v>
      </c>
      <c r="L332" s="31" t="s">
        <v>231</v>
      </c>
      <c r="M332" s="72"/>
      <c r="N332" s="73"/>
      <c r="O332" s="74"/>
      <c r="P332" s="75">
        <f aca="true" t="shared" si="23" ref="P332:P339">+IF(M332="item",O332,IF(M332&lt;&gt;0,M332*O332,""))</f>
      </c>
      <c r="Q332" s="76"/>
      <c r="S332" s="110"/>
      <c r="T332" s="12"/>
      <c r="U332" s="12"/>
      <c r="V332" s="12"/>
      <c r="W332" s="19"/>
      <c r="X332" s="111"/>
    </row>
    <row r="333" spans="1:24" ht="12.75" hidden="1" outlineLevel="1">
      <c r="A333" s="60"/>
      <c r="B333" s="61"/>
      <c r="C333" s="62"/>
      <c r="D333" s="65"/>
      <c r="E333" s="44"/>
      <c r="F333" s="33"/>
      <c r="G333" s="42"/>
      <c r="H333" s="43"/>
      <c r="I333" s="43"/>
      <c r="J333" s="36"/>
      <c r="K333" s="37">
        <f t="shared" si="22"/>
      </c>
      <c r="L333" s="31"/>
      <c r="M333" s="72"/>
      <c r="N333" s="73"/>
      <c r="O333" s="74"/>
      <c r="P333" s="75">
        <f t="shared" si="23"/>
      </c>
      <c r="Q333" s="76"/>
      <c r="S333" s="110"/>
      <c r="T333" s="12"/>
      <c r="U333" s="12"/>
      <c r="V333" s="12"/>
      <c r="W333" s="19"/>
      <c r="X333" s="111"/>
    </row>
    <row r="334" spans="1:24" ht="12.75" hidden="1" outlineLevel="1">
      <c r="A334" s="60"/>
      <c r="B334" s="61"/>
      <c r="C334" s="62"/>
      <c r="D334" s="65"/>
      <c r="E334" s="44" t="s">
        <v>233</v>
      </c>
      <c r="F334" s="33">
        <f>+++F332</f>
        <v>106</v>
      </c>
      <c r="G334" s="42" t="s">
        <v>35</v>
      </c>
      <c r="H334" s="43"/>
      <c r="I334" s="43"/>
      <c r="J334" s="36">
        <v>9.86</v>
      </c>
      <c r="K334" s="37">
        <f t="shared" si="22"/>
        <v>1045.1599999999999</v>
      </c>
      <c r="L334" s="31" t="s">
        <v>232</v>
      </c>
      <c r="M334" s="72"/>
      <c r="N334" s="73"/>
      <c r="O334" s="74"/>
      <c r="P334" s="75">
        <f t="shared" si="23"/>
      </c>
      <c r="Q334" s="76"/>
      <c r="S334" s="110"/>
      <c r="T334" s="12"/>
      <c r="U334" s="12"/>
      <c r="V334" s="12"/>
      <c r="W334" s="19"/>
      <c r="X334" s="111"/>
    </row>
    <row r="335" spans="1:24" ht="12.75" hidden="1" outlineLevel="1">
      <c r="A335" s="60"/>
      <c r="B335" s="61"/>
      <c r="C335" s="62"/>
      <c r="D335" s="65"/>
      <c r="E335" s="44"/>
      <c r="F335" s="33"/>
      <c r="G335" s="42"/>
      <c r="H335" s="43"/>
      <c r="I335" s="43"/>
      <c r="J335" s="36"/>
      <c r="K335" s="37">
        <f t="shared" si="22"/>
      </c>
      <c r="L335" s="31"/>
      <c r="M335" s="72"/>
      <c r="N335" s="73"/>
      <c r="O335" s="74"/>
      <c r="P335" s="75">
        <f t="shared" si="23"/>
      </c>
      <c r="Q335" s="76"/>
      <c r="S335" s="110"/>
      <c r="T335" s="12"/>
      <c r="U335" s="12"/>
      <c r="V335" s="12"/>
      <c r="W335" s="19"/>
      <c r="X335" s="111"/>
    </row>
    <row r="336" spans="1:24" ht="12.75" hidden="1" outlineLevel="1">
      <c r="A336" s="60"/>
      <c r="B336" s="61"/>
      <c r="C336" s="62"/>
      <c r="D336" s="65"/>
      <c r="E336" s="44" t="s">
        <v>234</v>
      </c>
      <c r="F336" s="33">
        <f>+F334</f>
        <v>106</v>
      </c>
      <c r="G336" s="42" t="s">
        <v>35</v>
      </c>
      <c r="H336" s="43"/>
      <c r="I336" s="43"/>
      <c r="J336" s="36">
        <v>7.33</v>
      </c>
      <c r="K336" s="37">
        <f t="shared" si="22"/>
        <v>776.98</v>
      </c>
      <c r="L336" s="31" t="s">
        <v>235</v>
      </c>
      <c r="M336" s="72"/>
      <c r="N336" s="73"/>
      <c r="O336" s="74"/>
      <c r="P336" s="75">
        <f t="shared" si="23"/>
      </c>
      <c r="Q336" s="76"/>
      <c r="S336" s="110"/>
      <c r="T336" s="12"/>
      <c r="U336" s="12"/>
      <c r="V336" s="12"/>
      <c r="W336" s="19"/>
      <c r="X336" s="111"/>
    </row>
    <row r="337" spans="1:24" ht="12.75" hidden="1" outlineLevel="1">
      <c r="A337" s="60"/>
      <c r="B337" s="61"/>
      <c r="C337" s="62"/>
      <c r="D337" s="65"/>
      <c r="E337" s="44"/>
      <c r="F337" s="33"/>
      <c r="G337" s="42"/>
      <c r="H337" s="43"/>
      <c r="I337" s="43"/>
      <c r="J337" s="36"/>
      <c r="K337" s="37">
        <f t="shared" si="22"/>
      </c>
      <c r="L337" s="31"/>
      <c r="M337" s="72"/>
      <c r="N337" s="73"/>
      <c r="O337" s="74"/>
      <c r="P337" s="75">
        <f t="shared" si="23"/>
      </c>
      <c r="Q337" s="76"/>
      <c r="S337" s="110"/>
      <c r="T337" s="12"/>
      <c r="U337" s="12"/>
      <c r="V337" s="12"/>
      <c r="W337" s="19"/>
      <c r="X337" s="111"/>
    </row>
    <row r="338" spans="1:24" ht="25.5" hidden="1" outlineLevel="1">
      <c r="A338" s="60"/>
      <c r="B338" s="61"/>
      <c r="C338" s="62"/>
      <c r="D338" s="65"/>
      <c r="E338" s="44" t="s">
        <v>354</v>
      </c>
      <c r="F338" s="33">
        <f>ROUND(D351,0)</f>
        <v>79</v>
      </c>
      <c r="G338" s="42" t="s">
        <v>108</v>
      </c>
      <c r="H338" s="43"/>
      <c r="I338" s="43"/>
      <c r="J338" s="36">
        <v>7.25</v>
      </c>
      <c r="K338" s="37">
        <f t="shared" si="22"/>
        <v>572.75</v>
      </c>
      <c r="L338" s="31" t="s">
        <v>184</v>
      </c>
      <c r="M338" s="72"/>
      <c r="N338" s="73"/>
      <c r="O338" s="74"/>
      <c r="P338" s="75">
        <f t="shared" si="23"/>
      </c>
      <c r="Q338" s="76"/>
      <c r="S338" s="110"/>
      <c r="T338" s="12"/>
      <c r="U338" s="12"/>
      <c r="V338" s="12"/>
      <c r="W338" s="19"/>
      <c r="X338" s="111"/>
    </row>
    <row r="339" spans="1:24" ht="12.75" hidden="1" outlineLevel="1">
      <c r="A339" s="60"/>
      <c r="B339" s="61">
        <v>4</v>
      </c>
      <c r="C339" s="62">
        <v>1.2</v>
      </c>
      <c r="D339" s="63"/>
      <c r="E339" s="44"/>
      <c r="F339" s="33"/>
      <c r="G339" s="42"/>
      <c r="H339" s="43"/>
      <c r="I339" s="43"/>
      <c r="J339" s="36"/>
      <c r="K339" s="37">
        <f t="shared" si="22"/>
      </c>
      <c r="L339" s="31"/>
      <c r="M339" s="72"/>
      <c r="N339" s="73"/>
      <c r="O339" s="74"/>
      <c r="P339" s="75">
        <f t="shared" si="23"/>
      </c>
      <c r="Q339" s="76"/>
      <c r="S339" s="110"/>
      <c r="T339" s="12"/>
      <c r="U339" s="12"/>
      <c r="V339" s="12"/>
      <c r="W339" s="19"/>
      <c r="X339" s="111"/>
    </row>
    <row r="340" spans="1:24" ht="12.75" hidden="1" outlineLevel="1">
      <c r="A340" s="60">
        <v>2</v>
      </c>
      <c r="B340" s="61">
        <v>4</v>
      </c>
      <c r="C340" s="135">
        <v>1.2</v>
      </c>
      <c r="D340" s="63">
        <f>+C340*C339*B339</f>
        <v>5.76</v>
      </c>
      <c r="E340" s="44"/>
      <c r="F340" s="33"/>
      <c r="G340" s="42"/>
      <c r="H340" s="43"/>
      <c r="I340" s="43"/>
      <c r="J340" s="36"/>
      <c r="K340" s="37"/>
      <c r="L340" s="31"/>
      <c r="M340" s="72"/>
      <c r="N340" s="73"/>
      <c r="O340" s="74"/>
      <c r="P340" s="75"/>
      <c r="Q340" s="76"/>
      <c r="S340" s="110"/>
      <c r="T340" s="12"/>
      <c r="U340" s="12"/>
      <c r="V340" s="12"/>
      <c r="W340" s="19"/>
      <c r="X340" s="111"/>
    </row>
    <row r="341" spans="1:24" ht="12.75" hidden="1" outlineLevel="1">
      <c r="A341" s="60"/>
      <c r="B341" s="61">
        <v>4</v>
      </c>
      <c r="C341" s="62">
        <v>2.3</v>
      </c>
      <c r="D341" s="63"/>
      <c r="E341" s="44"/>
      <c r="F341" s="33"/>
      <c r="G341" s="42"/>
      <c r="H341" s="43"/>
      <c r="I341" s="43"/>
      <c r="J341" s="36"/>
      <c r="K341" s="37"/>
      <c r="L341" s="31"/>
      <c r="M341" s="72"/>
      <c r="N341" s="73"/>
      <c r="O341" s="74"/>
      <c r="P341" s="75"/>
      <c r="Q341" s="76"/>
      <c r="S341" s="110"/>
      <c r="T341" s="12"/>
      <c r="U341" s="12"/>
      <c r="V341" s="12"/>
      <c r="W341" s="19"/>
      <c r="X341" s="111"/>
    </row>
    <row r="342" spans="1:24" ht="12.75" hidden="1" outlineLevel="1">
      <c r="A342" s="60">
        <v>2</v>
      </c>
      <c r="B342" s="61">
        <v>4</v>
      </c>
      <c r="C342" s="135">
        <v>1.2</v>
      </c>
      <c r="D342" s="63">
        <f>+C342*C341*B341</f>
        <v>11.04</v>
      </c>
      <c r="E342" s="44"/>
      <c r="F342" s="33"/>
      <c r="G342" s="42"/>
      <c r="H342" s="43"/>
      <c r="I342" s="43"/>
      <c r="J342" s="36"/>
      <c r="K342" s="37"/>
      <c r="L342" s="31"/>
      <c r="M342" s="72"/>
      <c r="N342" s="73"/>
      <c r="O342" s="74"/>
      <c r="P342" s="75"/>
      <c r="Q342" s="76"/>
      <c r="S342" s="110"/>
      <c r="T342" s="12"/>
      <c r="U342" s="12"/>
      <c r="V342" s="12"/>
      <c r="W342" s="19"/>
      <c r="X342" s="111"/>
    </row>
    <row r="343" spans="1:24" ht="12.75" hidden="1" outlineLevel="1">
      <c r="A343" s="60"/>
      <c r="B343" s="61">
        <v>1</v>
      </c>
      <c r="C343" s="62">
        <v>2.1</v>
      </c>
      <c r="D343" s="63"/>
      <c r="E343" s="44"/>
      <c r="F343" s="33"/>
      <c r="G343" s="42"/>
      <c r="H343" s="43"/>
      <c r="I343" s="43"/>
      <c r="J343" s="36"/>
      <c r="K343" s="37"/>
      <c r="L343" s="31"/>
      <c r="M343" s="72"/>
      <c r="N343" s="73"/>
      <c r="O343" s="74"/>
      <c r="P343" s="75"/>
      <c r="Q343" s="76"/>
      <c r="S343" s="110"/>
      <c r="T343" s="12"/>
      <c r="U343" s="12"/>
      <c r="V343" s="12"/>
      <c r="W343" s="19"/>
      <c r="X343" s="111"/>
    </row>
    <row r="344" spans="1:24" ht="12.75" hidden="1" outlineLevel="1">
      <c r="A344" s="60">
        <v>2</v>
      </c>
      <c r="B344" s="61">
        <v>1</v>
      </c>
      <c r="C344" s="135">
        <v>2.3</v>
      </c>
      <c r="D344" s="63">
        <f>+C344*C343*B343</f>
        <v>4.83</v>
      </c>
      <c r="E344" s="44"/>
      <c r="F344" s="33"/>
      <c r="G344" s="42"/>
      <c r="H344" s="43"/>
      <c r="I344" s="43"/>
      <c r="J344" s="36"/>
      <c r="K344" s="37"/>
      <c r="L344" s="31"/>
      <c r="M344" s="72"/>
      <c r="N344" s="73"/>
      <c r="O344" s="74"/>
      <c r="P344" s="75"/>
      <c r="Q344" s="76"/>
      <c r="S344" s="110"/>
      <c r="T344" s="12"/>
      <c r="U344" s="12"/>
      <c r="V344" s="12"/>
      <c r="W344" s="19"/>
      <c r="X344" s="111"/>
    </row>
    <row r="345" spans="1:24" ht="12.75" hidden="1" outlineLevel="1">
      <c r="A345" s="60"/>
      <c r="B345" s="61">
        <v>1</v>
      </c>
      <c r="C345" s="62">
        <v>0.9</v>
      </c>
      <c r="D345" s="63"/>
      <c r="E345" s="44"/>
      <c r="F345" s="33"/>
      <c r="G345" s="42"/>
      <c r="H345" s="43"/>
      <c r="I345" s="43"/>
      <c r="J345" s="36"/>
      <c r="K345" s="37"/>
      <c r="L345" s="31"/>
      <c r="M345" s="72"/>
      <c r="N345" s="73"/>
      <c r="O345" s="74"/>
      <c r="P345" s="75"/>
      <c r="Q345" s="76"/>
      <c r="S345" s="110"/>
      <c r="T345" s="12"/>
      <c r="U345" s="12"/>
      <c r="V345" s="12"/>
      <c r="W345" s="19"/>
      <c r="X345" s="111"/>
    </row>
    <row r="346" spans="1:24" ht="12.75" hidden="1" outlineLevel="1">
      <c r="A346" s="60">
        <v>2</v>
      </c>
      <c r="B346" s="61">
        <v>1</v>
      </c>
      <c r="C346" s="135">
        <v>2.1</v>
      </c>
      <c r="D346" s="63">
        <f>+C346*C345*B345</f>
        <v>1.8900000000000001</v>
      </c>
      <c r="E346" s="44"/>
      <c r="F346" s="33"/>
      <c r="G346" s="42"/>
      <c r="H346" s="43"/>
      <c r="I346" s="43"/>
      <c r="J346" s="36"/>
      <c r="K346" s="37"/>
      <c r="L346" s="31"/>
      <c r="M346" s="72"/>
      <c r="N346" s="73"/>
      <c r="O346" s="74"/>
      <c r="P346" s="75"/>
      <c r="Q346" s="76"/>
      <c r="S346" s="110"/>
      <c r="T346" s="12"/>
      <c r="U346" s="12"/>
      <c r="V346" s="12"/>
      <c r="W346" s="19"/>
      <c r="X346" s="111"/>
    </row>
    <row r="347" spans="1:24" ht="12.75" hidden="1" outlineLevel="1">
      <c r="A347" s="60"/>
      <c r="B347" s="61">
        <v>1</v>
      </c>
      <c r="C347" s="62">
        <v>2.3</v>
      </c>
      <c r="D347" s="63"/>
      <c r="E347" s="44"/>
      <c r="F347" s="33"/>
      <c r="G347" s="42"/>
      <c r="H347" s="43"/>
      <c r="I347" s="43"/>
      <c r="J347" s="36"/>
      <c r="K347" s="37"/>
      <c r="L347" s="31"/>
      <c r="M347" s="72"/>
      <c r="N347" s="73"/>
      <c r="O347" s="74"/>
      <c r="P347" s="75"/>
      <c r="Q347" s="76"/>
      <c r="S347" s="110"/>
      <c r="T347" s="12"/>
      <c r="U347" s="12"/>
      <c r="V347" s="12"/>
      <c r="W347" s="19"/>
      <c r="X347" s="111"/>
    </row>
    <row r="348" spans="1:24" ht="12.75" hidden="1" outlineLevel="1">
      <c r="A348" s="60">
        <v>2</v>
      </c>
      <c r="B348" s="61">
        <v>1</v>
      </c>
      <c r="C348" s="135">
        <v>2.1</v>
      </c>
      <c r="D348" s="63">
        <f>+C348*C347*B347</f>
        <v>4.83</v>
      </c>
      <c r="E348" s="44"/>
      <c r="F348" s="33"/>
      <c r="G348" s="42"/>
      <c r="H348" s="43"/>
      <c r="I348" s="43"/>
      <c r="J348" s="36"/>
      <c r="K348" s="37"/>
      <c r="L348" s="31"/>
      <c r="M348" s="72"/>
      <c r="N348" s="73"/>
      <c r="O348" s="74"/>
      <c r="P348" s="75"/>
      <c r="Q348" s="76"/>
      <c r="S348" s="110"/>
      <c r="T348" s="12"/>
      <c r="U348" s="12"/>
      <c r="V348" s="12"/>
      <c r="W348" s="19"/>
      <c r="X348" s="111"/>
    </row>
    <row r="349" spans="1:24" ht="12.75" hidden="1" outlineLevel="1">
      <c r="A349" s="60"/>
      <c r="B349" s="61">
        <v>21</v>
      </c>
      <c r="C349" s="156">
        <v>2.4</v>
      </c>
      <c r="D349" s="63">
        <f>+C349*B349</f>
        <v>50.4</v>
      </c>
      <c r="E349" s="44"/>
      <c r="F349" s="33"/>
      <c r="G349" s="42"/>
      <c r="H349" s="43"/>
      <c r="I349" s="43"/>
      <c r="J349" s="36"/>
      <c r="K349" s="37"/>
      <c r="L349" s="31"/>
      <c r="M349" s="72"/>
      <c r="N349" s="73"/>
      <c r="O349" s="74"/>
      <c r="P349" s="75"/>
      <c r="Q349" s="76"/>
      <c r="S349" s="110"/>
      <c r="T349" s="12"/>
      <c r="U349" s="12"/>
      <c r="V349" s="12"/>
      <c r="W349" s="19"/>
      <c r="X349" s="111"/>
    </row>
    <row r="350" spans="1:24" ht="12.75" hidden="1" outlineLevel="1">
      <c r="A350" s="60"/>
      <c r="B350" s="61"/>
      <c r="C350" s="62"/>
      <c r="D350" s="63"/>
      <c r="E350" s="44"/>
      <c r="F350" s="33"/>
      <c r="G350" s="42"/>
      <c r="H350" s="43"/>
      <c r="I350" s="43"/>
      <c r="J350" s="36"/>
      <c r="K350" s="37"/>
      <c r="L350" s="31"/>
      <c r="M350" s="72"/>
      <c r="N350" s="73"/>
      <c r="O350" s="74"/>
      <c r="P350" s="75"/>
      <c r="Q350" s="76"/>
      <c r="S350" s="110"/>
      <c r="T350" s="12"/>
      <c r="U350" s="12"/>
      <c r="V350" s="12"/>
      <c r="W350" s="19"/>
      <c r="X350" s="111"/>
    </row>
    <row r="351" spans="1:24" ht="12.75" hidden="1" outlineLevel="1">
      <c r="A351" s="60"/>
      <c r="B351" s="61"/>
      <c r="C351" s="62"/>
      <c r="D351" s="65">
        <f>SUM(D339:D350)</f>
        <v>78.75</v>
      </c>
      <c r="E351" s="44"/>
      <c r="F351" s="33"/>
      <c r="G351" s="42"/>
      <c r="H351" s="43"/>
      <c r="I351" s="43"/>
      <c r="J351" s="36"/>
      <c r="K351" s="37"/>
      <c r="L351" s="31"/>
      <c r="M351" s="72"/>
      <c r="N351" s="73"/>
      <c r="O351" s="74"/>
      <c r="P351" s="75"/>
      <c r="Q351" s="76"/>
      <c r="S351" s="110"/>
      <c r="T351" s="12"/>
      <c r="U351" s="12"/>
      <c r="V351" s="12"/>
      <c r="W351" s="19"/>
      <c r="X351" s="111"/>
    </row>
    <row r="352" spans="1:24" ht="12.75" hidden="1" outlineLevel="1">
      <c r="A352" s="60"/>
      <c r="B352" s="61"/>
      <c r="C352" s="62"/>
      <c r="D352" s="65"/>
      <c r="E352" s="44"/>
      <c r="F352" s="33"/>
      <c r="G352" s="42"/>
      <c r="H352" s="43"/>
      <c r="I352" s="43"/>
      <c r="J352" s="36"/>
      <c r="K352" s="37"/>
      <c r="L352" s="31"/>
      <c r="M352" s="72"/>
      <c r="N352" s="73"/>
      <c r="O352" s="74"/>
      <c r="P352" s="75"/>
      <c r="Q352" s="76"/>
      <c r="S352" s="110"/>
      <c r="T352" s="12"/>
      <c r="U352" s="12"/>
      <c r="V352" s="12"/>
      <c r="W352" s="19"/>
      <c r="X352" s="111"/>
    </row>
    <row r="353" spans="1:24" ht="25.5" hidden="1" outlineLevel="1">
      <c r="A353" s="60"/>
      <c r="B353" s="61"/>
      <c r="C353" s="62"/>
      <c r="D353" s="65"/>
      <c r="E353" s="44" t="s">
        <v>361</v>
      </c>
      <c r="F353" s="33">
        <f>ROUND(D349,0)</f>
        <v>50</v>
      </c>
      <c r="G353" s="42" t="s">
        <v>108</v>
      </c>
      <c r="H353" s="43"/>
      <c r="I353" s="43"/>
      <c r="J353" s="36">
        <v>5</v>
      </c>
      <c r="K353" s="37">
        <f aca="true" t="shared" si="24" ref="K353:K363">+IF(F353="item",J353,IF(F353&lt;&gt;0,F353*J353,""))</f>
        <v>250</v>
      </c>
      <c r="L353" s="31"/>
      <c r="M353" s="72"/>
      <c r="N353" s="73"/>
      <c r="O353" s="74"/>
      <c r="P353" s="75"/>
      <c r="Q353" s="76"/>
      <c r="S353" s="110"/>
      <c r="T353" s="12"/>
      <c r="U353" s="12"/>
      <c r="V353" s="12"/>
      <c r="W353" s="19"/>
      <c r="X353" s="111"/>
    </row>
    <row r="354" spans="1:24" ht="12.75" hidden="1" outlineLevel="1">
      <c r="A354" s="60"/>
      <c r="B354" s="61"/>
      <c r="C354" s="62"/>
      <c r="D354" s="65"/>
      <c r="E354" s="44"/>
      <c r="F354" s="33"/>
      <c r="G354" s="42"/>
      <c r="H354" s="43"/>
      <c r="I354" s="43"/>
      <c r="J354" s="36"/>
      <c r="K354" s="37">
        <f t="shared" si="24"/>
      </c>
      <c r="L354" s="31"/>
      <c r="M354" s="72"/>
      <c r="N354" s="73"/>
      <c r="O354" s="74"/>
      <c r="P354" s="75"/>
      <c r="Q354" s="76"/>
      <c r="S354" s="110"/>
      <c r="T354" s="12"/>
      <c r="U354" s="12"/>
      <c r="V354" s="12"/>
      <c r="W354" s="19"/>
      <c r="X354" s="111"/>
    </row>
    <row r="355" spans="1:24" ht="12.75" hidden="1" outlineLevel="1">
      <c r="A355" s="60"/>
      <c r="B355" s="61"/>
      <c r="C355" s="62"/>
      <c r="D355" s="65"/>
      <c r="E355" s="44" t="s">
        <v>234</v>
      </c>
      <c r="F355" s="33">
        <f>+F338</f>
        <v>79</v>
      </c>
      <c r="G355" s="42" t="s">
        <v>108</v>
      </c>
      <c r="H355" s="43"/>
      <c r="I355" s="43"/>
      <c r="J355" s="36">
        <v>2.93</v>
      </c>
      <c r="K355" s="37">
        <f t="shared" si="24"/>
        <v>231.47</v>
      </c>
      <c r="L355" s="31" t="s">
        <v>235</v>
      </c>
      <c r="M355" s="72"/>
      <c r="N355" s="73"/>
      <c r="O355" s="74"/>
      <c r="P355" s="75">
        <f>+IF(M355="item",O355,IF(M355&lt;&gt;0,M355*O355,""))</f>
      </c>
      <c r="Q355" s="76"/>
      <c r="S355" s="110"/>
      <c r="T355" s="12"/>
      <c r="U355" s="12"/>
      <c r="V355" s="12"/>
      <c r="W355" s="19"/>
      <c r="X355" s="111"/>
    </row>
    <row r="356" spans="1:24" ht="12.75" hidden="1" outlineLevel="1">
      <c r="A356" s="60"/>
      <c r="B356" s="61"/>
      <c r="C356" s="62"/>
      <c r="D356" s="65"/>
      <c r="E356" s="44"/>
      <c r="F356" s="33"/>
      <c r="G356" s="42"/>
      <c r="H356" s="43"/>
      <c r="I356" s="43"/>
      <c r="J356" s="36"/>
      <c r="K356" s="37">
        <f t="shared" si="24"/>
      </c>
      <c r="L356" s="31"/>
      <c r="M356" s="72"/>
      <c r="N356" s="73"/>
      <c r="O356" s="74"/>
      <c r="P356" s="75">
        <f>+IF(M356="item",O356,IF(M356&lt;&gt;0,M356*O356,""))</f>
      </c>
      <c r="Q356" s="76"/>
      <c r="S356" s="110"/>
      <c r="T356" s="12"/>
      <c r="U356" s="12"/>
      <c r="V356" s="12"/>
      <c r="W356" s="19"/>
      <c r="X356" s="111"/>
    </row>
    <row r="357" spans="1:24" ht="12.75" hidden="1" outlineLevel="1">
      <c r="A357" s="60"/>
      <c r="B357" s="61"/>
      <c r="C357" s="62"/>
      <c r="D357" s="65"/>
      <c r="E357" s="44" t="s">
        <v>237</v>
      </c>
      <c r="F357" s="33" t="s">
        <v>1</v>
      </c>
      <c r="G357" s="42"/>
      <c r="H357" s="43"/>
      <c r="I357" s="43"/>
      <c r="J357" s="36">
        <v>100</v>
      </c>
      <c r="K357" s="37">
        <f t="shared" si="24"/>
        <v>100</v>
      </c>
      <c r="L357" s="31"/>
      <c r="M357" s="72"/>
      <c r="N357" s="73"/>
      <c r="O357" s="74"/>
      <c r="P357" s="75">
        <f>+IF(M357="item",O357,IF(M357&lt;&gt;0,M357*O357,""))</f>
      </c>
      <c r="Q357" s="76"/>
      <c r="S357" s="110"/>
      <c r="T357" s="12"/>
      <c r="U357" s="12"/>
      <c r="V357" s="12"/>
      <c r="W357" s="19"/>
      <c r="X357" s="111"/>
    </row>
    <row r="358" spans="1:24" ht="12.75" hidden="1" outlineLevel="1">
      <c r="A358" s="60"/>
      <c r="B358" s="61"/>
      <c r="C358" s="62"/>
      <c r="D358" s="65"/>
      <c r="E358" s="44"/>
      <c r="F358" s="33"/>
      <c r="G358" s="42"/>
      <c r="H358" s="43"/>
      <c r="I358" s="43"/>
      <c r="J358" s="36"/>
      <c r="K358" s="37">
        <f t="shared" si="24"/>
      </c>
      <c r="L358" s="31"/>
      <c r="M358" s="72"/>
      <c r="N358" s="73"/>
      <c r="O358" s="74"/>
      <c r="P358" s="75"/>
      <c r="Q358" s="76"/>
      <c r="S358" s="110"/>
      <c r="T358" s="12"/>
      <c r="U358" s="12"/>
      <c r="V358" s="12"/>
      <c r="W358" s="19"/>
      <c r="X358" s="111"/>
    </row>
    <row r="359" spans="1:24" ht="12.75" hidden="1" outlineLevel="1">
      <c r="A359" s="60"/>
      <c r="B359" s="61"/>
      <c r="C359" s="62"/>
      <c r="D359" s="65"/>
      <c r="E359" s="44" t="s">
        <v>392</v>
      </c>
      <c r="F359" s="33">
        <f>+ROUND(7.2*4*2,0)</f>
        <v>58</v>
      </c>
      <c r="G359" s="42" t="s">
        <v>108</v>
      </c>
      <c r="H359" s="43"/>
      <c r="I359" s="43"/>
      <c r="J359" s="36">
        <v>4.27</v>
      </c>
      <c r="K359" s="37">
        <f t="shared" si="24"/>
        <v>247.65999999999997</v>
      </c>
      <c r="L359" s="31"/>
      <c r="M359" s="72"/>
      <c r="N359" s="73"/>
      <c r="O359" s="74"/>
      <c r="P359" s="75"/>
      <c r="Q359" s="76"/>
      <c r="S359" s="110"/>
      <c r="T359" s="12"/>
      <c r="U359" s="12"/>
      <c r="V359" s="12"/>
      <c r="W359" s="19"/>
      <c r="X359" s="111"/>
    </row>
    <row r="360" spans="1:24" ht="12.75" hidden="1" outlineLevel="1">
      <c r="A360" s="60"/>
      <c r="B360" s="61"/>
      <c r="C360" s="62"/>
      <c r="D360" s="65"/>
      <c r="E360" s="44"/>
      <c r="F360" s="33"/>
      <c r="G360" s="42"/>
      <c r="H360" s="43"/>
      <c r="I360" s="43"/>
      <c r="J360" s="36">
        <f>IF(+I360+H360&gt;0,I360+(H360*labour),"")</f>
      </c>
      <c r="K360" s="37">
        <f t="shared" si="24"/>
      </c>
      <c r="L360" s="31"/>
      <c r="M360" s="72"/>
      <c r="N360" s="73"/>
      <c r="O360" s="74"/>
      <c r="P360" s="75"/>
      <c r="Q360" s="76"/>
      <c r="S360" s="110"/>
      <c r="T360" s="12"/>
      <c r="U360" s="12"/>
      <c r="V360" s="12"/>
      <c r="W360" s="19"/>
      <c r="X360" s="111"/>
    </row>
    <row r="361" spans="1:24" ht="12.75" hidden="1" outlineLevel="1">
      <c r="A361" s="60"/>
      <c r="B361" s="61"/>
      <c r="C361" s="62"/>
      <c r="D361" s="65"/>
      <c r="E361" s="44" t="s">
        <v>358</v>
      </c>
      <c r="F361" s="33" t="s">
        <v>1</v>
      </c>
      <c r="G361" s="42"/>
      <c r="H361" s="43">
        <v>8</v>
      </c>
      <c r="I361" s="43">
        <v>200</v>
      </c>
      <c r="J361" s="36">
        <f>IF(+I361+H361&gt;0,I361+(H361*labour),"")</f>
        <v>440</v>
      </c>
      <c r="K361" s="37">
        <f t="shared" si="24"/>
        <v>440</v>
      </c>
      <c r="L361" s="31"/>
      <c r="M361" s="72"/>
      <c r="N361" s="73"/>
      <c r="O361" s="74"/>
      <c r="P361" s="75"/>
      <c r="Q361" s="76"/>
      <c r="S361" s="110"/>
      <c r="T361" s="12"/>
      <c r="U361" s="12"/>
      <c r="V361" s="12"/>
      <c r="W361" s="19"/>
      <c r="X361" s="111"/>
    </row>
    <row r="362" spans="1:24" ht="12.75" hidden="1" outlineLevel="1">
      <c r="A362" s="60"/>
      <c r="B362" s="61"/>
      <c r="C362" s="62"/>
      <c r="D362" s="65"/>
      <c r="E362" s="44"/>
      <c r="F362" s="33"/>
      <c r="G362" s="42"/>
      <c r="H362" s="43"/>
      <c r="I362" s="43"/>
      <c r="J362" s="36">
        <f>IF(+I362+H362&gt;0,I362+(H362*labour),"")</f>
      </c>
      <c r="K362" s="37">
        <f t="shared" si="24"/>
      </c>
      <c r="L362" s="31"/>
      <c r="M362" s="72"/>
      <c r="N362" s="73"/>
      <c r="O362" s="74"/>
      <c r="P362" s="75"/>
      <c r="Q362" s="76"/>
      <c r="S362" s="110"/>
      <c r="T362" s="12"/>
      <c r="U362" s="12"/>
      <c r="V362" s="12"/>
      <c r="W362" s="19"/>
      <c r="X362" s="111"/>
    </row>
    <row r="363" spans="1:24" ht="12.75" hidden="1" outlineLevel="1">
      <c r="A363" s="60"/>
      <c r="B363" s="61"/>
      <c r="C363" s="62"/>
      <c r="D363" s="65"/>
      <c r="E363" s="44" t="s">
        <v>360</v>
      </c>
      <c r="F363" s="33" t="s">
        <v>1</v>
      </c>
      <c r="G363" s="42"/>
      <c r="H363" s="43">
        <v>16</v>
      </c>
      <c r="I363" s="43">
        <v>100</v>
      </c>
      <c r="J363" s="36">
        <f>IF(+I363+H363&gt;0,I363+(H363*labour),"")</f>
        <v>580</v>
      </c>
      <c r="K363" s="37">
        <f t="shared" si="24"/>
        <v>580</v>
      </c>
      <c r="L363" s="31"/>
      <c r="M363" s="72"/>
      <c r="N363" s="73"/>
      <c r="O363" s="74"/>
      <c r="P363" s="75"/>
      <c r="Q363" s="76"/>
      <c r="S363" s="110"/>
      <c r="T363" s="12"/>
      <c r="U363" s="12"/>
      <c r="V363" s="12"/>
      <c r="W363" s="19"/>
      <c r="X363" s="111"/>
    </row>
    <row r="364" spans="1:24" ht="12.75" hidden="1" outlineLevel="1">
      <c r="A364" s="60"/>
      <c r="B364" s="61"/>
      <c r="C364" s="62"/>
      <c r="D364" s="65"/>
      <c r="E364" s="44"/>
      <c r="F364" s="33"/>
      <c r="G364" s="42"/>
      <c r="H364" s="43"/>
      <c r="I364" s="43"/>
      <c r="J364" s="36"/>
      <c r="K364" s="37"/>
      <c r="L364" s="31"/>
      <c r="M364" s="72"/>
      <c r="N364" s="73"/>
      <c r="O364" s="74"/>
      <c r="P364" s="75"/>
      <c r="Q364" s="76"/>
      <c r="S364" s="110"/>
      <c r="T364" s="12"/>
      <c r="U364" s="12"/>
      <c r="V364" s="12"/>
      <c r="W364" s="19"/>
      <c r="X364" s="111"/>
    </row>
    <row r="365" spans="1:24" ht="12.75" hidden="1" outlineLevel="1">
      <c r="A365" s="60"/>
      <c r="B365" s="61"/>
      <c r="C365" s="62"/>
      <c r="D365" s="65"/>
      <c r="E365" s="38" t="s">
        <v>362</v>
      </c>
      <c r="F365" s="33">
        <v>10</v>
      </c>
      <c r="G365" s="34" t="s">
        <v>363</v>
      </c>
      <c r="H365" s="39"/>
      <c r="I365" s="164"/>
      <c r="J365" s="39">
        <f>SUM(K309:K364)</f>
        <v>7768.896250000001</v>
      </c>
      <c r="K365" s="37">
        <f>+J365*F365%</f>
        <v>776.8896250000001</v>
      </c>
      <c r="L365" s="31"/>
      <c r="M365" s="72"/>
      <c r="N365" s="73"/>
      <c r="O365" s="74"/>
      <c r="P365" s="75"/>
      <c r="Q365" s="76"/>
      <c r="S365" s="110"/>
      <c r="T365" s="12"/>
      <c r="U365" s="12"/>
      <c r="V365" s="12"/>
      <c r="W365" s="19"/>
      <c r="X365" s="111"/>
    </row>
    <row r="366" spans="1:24" ht="12.75" hidden="1" outlineLevel="1">
      <c r="A366" s="60"/>
      <c r="B366" s="61"/>
      <c r="C366" s="62"/>
      <c r="D366" s="65"/>
      <c r="E366" s="44"/>
      <c r="F366" s="33"/>
      <c r="G366" s="42"/>
      <c r="H366" s="43"/>
      <c r="I366" s="43"/>
      <c r="J366" s="36"/>
      <c r="K366" s="37">
        <f>+IF(F366="item",J366,IF(F366&lt;&gt;0,F366*J366,""))</f>
      </c>
      <c r="L366" s="31"/>
      <c r="M366" s="72"/>
      <c r="N366" s="73"/>
      <c r="O366" s="74"/>
      <c r="P366" s="75"/>
      <c r="Q366" s="76"/>
      <c r="S366" s="110"/>
      <c r="T366" s="12"/>
      <c r="U366" s="12"/>
      <c r="V366" s="12"/>
      <c r="W366" s="19"/>
      <c r="X366" s="111"/>
    </row>
    <row r="367" spans="1:24" ht="12.75" collapsed="1">
      <c r="A367" s="60"/>
      <c r="B367" s="61"/>
      <c r="C367" s="62"/>
      <c r="D367" s="65"/>
      <c r="E367" s="44"/>
      <c r="F367" s="33"/>
      <c r="G367" s="42"/>
      <c r="H367" s="43"/>
      <c r="I367" s="43"/>
      <c r="J367" s="36"/>
      <c r="K367" s="37"/>
      <c r="L367" s="31"/>
      <c r="M367" s="72"/>
      <c r="N367" s="73"/>
      <c r="O367" s="74"/>
      <c r="P367" s="75">
        <f>+IF(M367="item",O367,IF(M367&lt;&gt;0,M367*O367,""))</f>
      </c>
      <c r="Q367" s="76"/>
      <c r="S367" s="110"/>
      <c r="T367" s="12"/>
      <c r="U367" s="12"/>
      <c r="V367" s="12"/>
      <c r="W367" s="19"/>
      <c r="X367" s="111"/>
    </row>
    <row r="368" spans="1:24" ht="12.75">
      <c r="A368" s="60"/>
      <c r="B368" s="61"/>
      <c r="C368" s="62"/>
      <c r="D368" s="65"/>
      <c r="E368" s="77"/>
      <c r="F368" s="33"/>
      <c r="G368" s="42"/>
      <c r="H368" s="43"/>
      <c r="I368" s="43"/>
      <c r="J368" s="36"/>
      <c r="K368" s="37">
        <f>+IF(F368="item",J368,IF(F368&lt;&gt;0,F368*J368,""))</f>
      </c>
      <c r="L368" s="31"/>
      <c r="M368" s="33"/>
      <c r="N368" s="42"/>
      <c r="O368" s="36"/>
      <c r="P368" s="37"/>
      <c r="Q368" s="54"/>
      <c r="S368" s="110"/>
      <c r="T368" s="12"/>
      <c r="U368" s="12"/>
      <c r="V368" s="12"/>
      <c r="W368" s="19"/>
      <c r="X368" s="111"/>
    </row>
    <row r="369" spans="1:24" ht="15.75">
      <c r="A369" s="60"/>
      <c r="B369" s="61"/>
      <c r="C369" s="64"/>
      <c r="D369" s="63"/>
      <c r="E369" s="78" t="s">
        <v>144</v>
      </c>
      <c r="F369" s="79"/>
      <c r="G369" s="80"/>
      <c r="H369" s="81"/>
      <c r="I369" s="81"/>
      <c r="J369" s="82">
        <f>IF(+I369+H369&gt;0,I369+(H369*labour),"")</f>
      </c>
      <c r="K369" s="83">
        <f>+IF(F369="item",J369,IF(F369&lt;&gt;0,F369*J369,""))</f>
      </c>
      <c r="L369" s="84"/>
      <c r="M369" s="79"/>
      <c r="N369" s="80"/>
      <c r="O369" s="82"/>
      <c r="P369" s="83">
        <f>+IF(M369="item",O369,IF(M369&lt;&gt;0,M369*O369,""))</f>
      </c>
      <c r="Q369" s="85"/>
      <c r="R369" s="89"/>
      <c r="S369" s="117"/>
      <c r="T369" s="118"/>
      <c r="U369" s="118"/>
      <c r="V369" s="118"/>
      <c r="W369" s="119"/>
      <c r="X369" s="120"/>
    </row>
    <row r="370" spans="1:24" ht="12.75">
      <c r="A370" s="60"/>
      <c r="B370" s="61"/>
      <c r="C370" s="62"/>
      <c r="D370" s="65"/>
      <c r="E370" s="77"/>
      <c r="F370" s="33"/>
      <c r="G370" s="42"/>
      <c r="H370" s="43"/>
      <c r="I370" s="43"/>
      <c r="J370" s="36"/>
      <c r="K370" s="37">
        <f>+IF(F370="item",J370,IF(F370&lt;&gt;0,F370*J370,""))</f>
      </c>
      <c r="L370" s="31"/>
      <c r="M370" s="33"/>
      <c r="N370" s="42"/>
      <c r="O370" s="36"/>
      <c r="P370" s="37"/>
      <c r="Q370" s="54"/>
      <c r="S370" s="110"/>
      <c r="T370" s="12"/>
      <c r="U370" s="12"/>
      <c r="V370" s="12"/>
      <c r="W370" s="19"/>
      <c r="X370" s="111"/>
    </row>
    <row r="371" spans="1:24" ht="25.5">
      <c r="A371" s="60"/>
      <c r="B371" s="61"/>
      <c r="C371" s="62"/>
      <c r="D371" s="65"/>
      <c r="E371" s="77" t="s">
        <v>145</v>
      </c>
      <c r="F371" s="33"/>
      <c r="G371" s="42"/>
      <c r="H371" s="43"/>
      <c r="I371" s="43"/>
      <c r="J371" s="36"/>
      <c r="K371" s="53">
        <f>SUM(K373:K378)</f>
        <v>4895.5</v>
      </c>
      <c r="L371" s="31" t="s">
        <v>365</v>
      </c>
      <c r="M371" s="72"/>
      <c r="N371" s="73"/>
      <c r="O371" s="74"/>
      <c r="P371" s="75"/>
      <c r="Q371" s="76"/>
      <c r="S371" s="110"/>
      <c r="T371" s="12"/>
      <c r="U371" s="12"/>
      <c r="V371" s="12"/>
      <c r="W371" s="19"/>
      <c r="X371" s="111"/>
    </row>
    <row r="372" spans="1:24" ht="12.75">
      <c r="A372" s="60"/>
      <c r="B372" s="61"/>
      <c r="C372" s="62"/>
      <c r="D372" s="65"/>
      <c r="E372" s="77"/>
      <c r="F372" s="33"/>
      <c r="G372" s="42"/>
      <c r="H372" s="43"/>
      <c r="I372" s="43"/>
      <c r="J372" s="36"/>
      <c r="K372" s="37">
        <f>+IF(F372="item",J372,IF(F372&lt;&gt;0,F372*J372,""))</f>
      </c>
      <c r="L372" s="31"/>
      <c r="M372" s="72"/>
      <c r="N372" s="73"/>
      <c r="O372" s="74"/>
      <c r="P372" s="75"/>
      <c r="Q372" s="76"/>
      <c r="S372" s="110"/>
      <c r="T372" s="12"/>
      <c r="U372" s="12"/>
      <c r="V372" s="12"/>
      <c r="W372" s="19"/>
      <c r="X372" s="111"/>
    </row>
    <row r="373" spans="1:24" ht="12.75" hidden="1" outlineLevel="1">
      <c r="A373" s="60"/>
      <c r="B373" s="61"/>
      <c r="C373" s="62"/>
      <c r="D373" s="65"/>
      <c r="E373" s="44" t="s">
        <v>305</v>
      </c>
      <c r="F373" s="33" t="s">
        <v>1</v>
      </c>
      <c r="G373" s="42"/>
      <c r="H373" s="43"/>
      <c r="I373" s="43"/>
      <c r="J373" s="36">
        <f>ihybridearly</f>
        <v>2255.5</v>
      </c>
      <c r="K373" s="37">
        <f>+IF(F373="item",J373,IF(F373&lt;&gt;0,F373*J373,""))</f>
        <v>2255.5</v>
      </c>
      <c r="L373" s="31"/>
      <c r="M373" s="72"/>
      <c r="N373" s="73"/>
      <c r="O373" s="74"/>
      <c r="P373" s="75"/>
      <c r="Q373" s="76"/>
      <c r="S373" s="110"/>
      <c r="T373" s="12"/>
      <c r="U373" s="12"/>
      <c r="V373" s="12"/>
      <c r="W373" s="19"/>
      <c r="X373" s="111"/>
    </row>
    <row r="374" spans="1:24" ht="12.75" hidden="1" outlineLevel="1">
      <c r="A374" s="60"/>
      <c r="B374" s="61"/>
      <c r="C374" s="62"/>
      <c r="D374" s="65"/>
      <c r="E374" s="77"/>
      <c r="F374" s="33"/>
      <c r="G374" s="42"/>
      <c r="H374" s="43"/>
      <c r="I374" s="43"/>
      <c r="J374" s="36"/>
      <c r="K374" s="37">
        <f>+IF(F374="item",J374,IF(F374&lt;&gt;0,F374*J374,""))</f>
      </c>
      <c r="L374" s="31"/>
      <c r="M374" s="72"/>
      <c r="N374" s="73"/>
      <c r="O374" s="74"/>
      <c r="P374" s="75"/>
      <c r="Q374" s="76"/>
      <c r="S374" s="110"/>
      <c r="T374" s="12"/>
      <c r="U374" s="12"/>
      <c r="V374" s="12"/>
      <c r="W374" s="19"/>
      <c r="X374" s="111"/>
    </row>
    <row r="375" spans="1:24" ht="12.75" hidden="1" outlineLevel="1">
      <c r="A375" s="60"/>
      <c r="B375" s="61"/>
      <c r="C375" s="62"/>
      <c r="D375" s="65"/>
      <c r="E375" s="44" t="s">
        <v>151</v>
      </c>
      <c r="F375" s="33" t="s">
        <v>1</v>
      </c>
      <c r="G375" s="42"/>
      <c r="H375" s="43"/>
      <c r="I375" s="43"/>
      <c r="J375" s="36">
        <f>ihybridfitearly</f>
        <v>2640</v>
      </c>
      <c r="K375" s="37">
        <f>+IF(F375="item",J375,IF(F375&lt;&gt;0,F375*J375,""))</f>
        <v>2640</v>
      </c>
      <c r="L375" s="31"/>
      <c r="M375" s="72"/>
      <c r="N375" s="73"/>
      <c r="O375" s="74"/>
      <c r="P375" s="75"/>
      <c r="Q375" s="76"/>
      <c r="S375" s="110"/>
      <c r="T375" s="12"/>
      <c r="U375" s="12"/>
      <c r="V375" s="12"/>
      <c r="W375" s="19"/>
      <c r="X375" s="111"/>
    </row>
    <row r="376" spans="1:24" ht="12.75" hidden="1" outlineLevel="1">
      <c r="A376" s="60"/>
      <c r="B376" s="61"/>
      <c r="C376" s="62"/>
      <c r="D376" s="65"/>
      <c r="E376" s="44"/>
      <c r="F376" s="33"/>
      <c r="G376" s="42"/>
      <c r="H376" s="43"/>
      <c r="I376" s="43"/>
      <c r="J376" s="36"/>
      <c r="K376" s="37"/>
      <c r="L376" s="31"/>
      <c r="M376" s="72"/>
      <c r="N376" s="73"/>
      <c r="O376" s="74"/>
      <c r="P376" s="75"/>
      <c r="Q376" s="76"/>
      <c r="S376" s="110"/>
      <c r="T376" s="12"/>
      <c r="U376" s="12"/>
      <c r="V376" s="12"/>
      <c r="W376" s="19"/>
      <c r="X376" s="111"/>
    </row>
    <row r="377" spans="1:24" ht="12.75" hidden="1" outlineLevel="1">
      <c r="A377" s="60"/>
      <c r="B377" s="61"/>
      <c r="C377" s="62"/>
      <c r="D377" s="65"/>
      <c r="E377" s="44"/>
      <c r="F377" s="33"/>
      <c r="G377" s="42"/>
      <c r="H377" s="43"/>
      <c r="I377" s="43"/>
      <c r="J377" s="36"/>
      <c r="K377" s="37"/>
      <c r="L377" s="31"/>
      <c r="M377" s="72"/>
      <c r="N377" s="73"/>
      <c r="O377" s="74"/>
      <c r="P377" s="75"/>
      <c r="Q377" s="76"/>
      <c r="S377" s="110"/>
      <c r="T377" s="12"/>
      <c r="U377" s="12"/>
      <c r="V377" s="12"/>
      <c r="W377" s="19"/>
      <c r="X377" s="111"/>
    </row>
    <row r="378" spans="1:24" ht="12.75" hidden="1" outlineLevel="1">
      <c r="A378" s="60"/>
      <c r="B378" s="61"/>
      <c r="C378" s="62"/>
      <c r="D378" s="65"/>
      <c r="E378" s="44"/>
      <c r="F378" s="33"/>
      <c r="G378" s="42"/>
      <c r="H378" s="43"/>
      <c r="I378" s="43"/>
      <c r="J378" s="36"/>
      <c r="K378" s="37"/>
      <c r="L378" s="31"/>
      <c r="M378" s="72"/>
      <c r="N378" s="73"/>
      <c r="O378" s="74"/>
      <c r="P378" s="75"/>
      <c r="Q378" s="76"/>
      <c r="S378" s="110"/>
      <c r="T378" s="12"/>
      <c r="U378" s="12"/>
      <c r="V378" s="12"/>
      <c r="W378" s="19"/>
      <c r="X378" s="111"/>
    </row>
    <row r="379" spans="1:24" ht="12.75" hidden="1" outlineLevel="1">
      <c r="A379" s="60"/>
      <c r="B379" s="61"/>
      <c r="C379" s="62"/>
      <c r="D379" s="65"/>
      <c r="E379" s="44"/>
      <c r="F379" s="33"/>
      <c r="G379" s="42"/>
      <c r="H379" s="43"/>
      <c r="I379" s="43"/>
      <c r="J379" s="36"/>
      <c r="K379" s="37"/>
      <c r="L379" s="31"/>
      <c r="M379" s="72"/>
      <c r="N379" s="73"/>
      <c r="O379" s="74"/>
      <c r="P379" s="75"/>
      <c r="Q379" s="76"/>
      <c r="S379" s="110"/>
      <c r="T379" s="12"/>
      <c r="U379" s="12"/>
      <c r="V379" s="12"/>
      <c r="W379" s="19"/>
      <c r="X379" s="111"/>
    </row>
    <row r="380" spans="1:24" ht="12.75" hidden="1" outlineLevel="1">
      <c r="A380" s="60"/>
      <c r="B380" s="61"/>
      <c r="C380" s="62"/>
      <c r="D380" s="65"/>
      <c r="E380" s="77"/>
      <c r="F380" s="33"/>
      <c r="G380" s="42"/>
      <c r="H380" s="43"/>
      <c r="I380" s="43"/>
      <c r="J380" s="36"/>
      <c r="K380" s="37">
        <f aca="true" t="shared" si="25" ref="K380:K386">+IF(F380="item",J380,IF(F380&lt;&gt;0,F380*J380,""))</f>
      </c>
      <c r="L380" s="31"/>
      <c r="M380" s="72"/>
      <c r="N380" s="73"/>
      <c r="O380" s="74"/>
      <c r="P380" s="75"/>
      <c r="Q380" s="76"/>
      <c r="S380" s="110"/>
      <c r="T380" s="12"/>
      <c r="U380" s="12"/>
      <c r="V380" s="12"/>
      <c r="W380" s="19"/>
      <c r="X380" s="111"/>
    </row>
    <row r="381" spans="1:24" ht="12.75" collapsed="1">
      <c r="A381" s="60"/>
      <c r="B381" s="61"/>
      <c r="C381" s="62"/>
      <c r="D381" s="65"/>
      <c r="E381" s="77"/>
      <c r="F381" s="33"/>
      <c r="G381" s="42"/>
      <c r="H381" s="43"/>
      <c r="I381" s="43"/>
      <c r="J381" s="36"/>
      <c r="K381" s="37">
        <f t="shared" si="25"/>
      </c>
      <c r="L381" s="31"/>
      <c r="M381" s="72"/>
      <c r="N381" s="73"/>
      <c r="O381" s="74"/>
      <c r="P381" s="75"/>
      <c r="Q381" s="76"/>
      <c r="S381" s="110"/>
      <c r="T381" s="12"/>
      <c r="U381" s="12"/>
      <c r="V381" s="12"/>
      <c r="W381" s="19"/>
      <c r="X381" s="111"/>
    </row>
    <row r="382" spans="1:24" ht="38.25">
      <c r="A382" s="60"/>
      <c r="B382" s="61"/>
      <c r="C382" s="62"/>
      <c r="D382" s="65"/>
      <c r="E382" s="77" t="s">
        <v>146</v>
      </c>
      <c r="F382" s="33"/>
      <c r="G382" s="42"/>
      <c r="H382" s="43"/>
      <c r="I382" s="43"/>
      <c r="J382" s="36"/>
      <c r="K382" s="37">
        <f t="shared" si="25"/>
      </c>
      <c r="L382" s="31" t="s">
        <v>268</v>
      </c>
      <c r="M382" s="72"/>
      <c r="N382" s="73"/>
      <c r="O382" s="74"/>
      <c r="P382" s="75"/>
      <c r="Q382" s="76"/>
      <c r="S382" s="110"/>
      <c r="T382" s="12"/>
      <c r="U382" s="12"/>
      <c r="V382" s="12"/>
      <c r="W382" s="19"/>
      <c r="X382" s="111"/>
    </row>
    <row r="383" spans="1:24" ht="12.75" hidden="1" outlineLevel="1">
      <c r="A383" s="60"/>
      <c r="B383" s="61"/>
      <c r="C383" s="62"/>
      <c r="D383" s="65"/>
      <c r="E383" s="77"/>
      <c r="F383" s="33"/>
      <c r="G383" s="42"/>
      <c r="H383" s="43"/>
      <c r="I383" s="43"/>
      <c r="J383" s="36"/>
      <c r="K383" s="37">
        <f t="shared" si="25"/>
      </c>
      <c r="L383" s="31"/>
      <c r="M383" s="72"/>
      <c r="N383" s="73"/>
      <c r="O383" s="74"/>
      <c r="P383" s="75"/>
      <c r="Q383" s="76"/>
      <c r="S383" s="113" t="s">
        <v>257</v>
      </c>
      <c r="T383" s="12"/>
      <c r="U383" s="12"/>
      <c r="V383" s="12"/>
      <c r="W383" s="19"/>
      <c r="X383" s="111"/>
    </row>
    <row r="384" spans="1:24" ht="12.75" hidden="1" outlineLevel="1">
      <c r="A384" s="60"/>
      <c r="B384" s="61"/>
      <c r="C384" s="62"/>
      <c r="D384" s="65"/>
      <c r="E384" s="44" t="s">
        <v>158</v>
      </c>
      <c r="F384" s="33">
        <v>1</v>
      </c>
      <c r="G384" s="42" t="s">
        <v>8</v>
      </c>
      <c r="H384" s="43"/>
      <c r="I384" s="43"/>
      <c r="J384" s="36">
        <f>13000*1.2</f>
        <v>15600</v>
      </c>
      <c r="K384" s="37">
        <f t="shared" si="25"/>
        <v>15600</v>
      </c>
      <c r="L384" s="31" t="s">
        <v>171</v>
      </c>
      <c r="M384" s="72"/>
      <c r="N384" s="73"/>
      <c r="O384" s="74"/>
      <c r="P384" s="75"/>
      <c r="Q384" s="76"/>
      <c r="S384" s="110" t="str">
        <f>+E384</f>
        <v>Typical installation</v>
      </c>
      <c r="T384" s="114">
        <f>+K384</f>
        <v>15600</v>
      </c>
      <c r="U384" s="12"/>
      <c r="V384" s="12">
        <v>60</v>
      </c>
      <c r="W384" s="19">
        <f>ROUND(+IF(V384&gt;0,T384/V384,""),2)</f>
        <v>260</v>
      </c>
      <c r="X384" s="111"/>
    </row>
    <row r="385" spans="1:24" ht="12.75" hidden="1" outlineLevel="1">
      <c r="A385" s="60"/>
      <c r="B385" s="61"/>
      <c r="C385" s="62"/>
      <c r="D385" s="65"/>
      <c r="E385" s="77"/>
      <c r="F385" s="33"/>
      <c r="G385" s="42"/>
      <c r="H385" s="43"/>
      <c r="I385" s="43"/>
      <c r="J385" s="36"/>
      <c r="K385" s="37">
        <f t="shared" si="25"/>
      </c>
      <c r="L385" s="31" t="s">
        <v>172</v>
      </c>
      <c r="M385" s="72"/>
      <c r="N385" s="73"/>
      <c r="O385" s="74"/>
      <c r="P385" s="75"/>
      <c r="Q385" s="76"/>
      <c r="S385" s="110"/>
      <c r="T385" s="12"/>
      <c r="U385" s="12"/>
      <c r="V385" s="12"/>
      <c r="W385" s="19"/>
      <c r="X385" s="111"/>
    </row>
    <row r="386" spans="1:24" ht="12.75" hidden="1" outlineLevel="1">
      <c r="A386" s="60"/>
      <c r="B386" s="61"/>
      <c r="C386" s="62"/>
      <c r="D386" s="65"/>
      <c r="E386" s="77"/>
      <c r="F386" s="33"/>
      <c r="G386" s="42"/>
      <c r="H386" s="43"/>
      <c r="I386" s="43"/>
      <c r="J386" s="36"/>
      <c r="K386" s="37">
        <f t="shared" si="25"/>
      </c>
      <c r="L386" s="31"/>
      <c r="M386" s="72"/>
      <c r="N386" s="73"/>
      <c r="O386" s="74"/>
      <c r="P386" s="75"/>
      <c r="Q386" s="76"/>
      <c r="S386" s="113" t="s">
        <v>251</v>
      </c>
      <c r="T386" s="12"/>
      <c r="U386" s="12"/>
      <c r="V386" s="12"/>
      <c r="W386" s="19"/>
      <c r="X386" s="111"/>
    </row>
    <row r="387" spans="1:24" ht="12.75" hidden="1" outlineLevel="1">
      <c r="A387" s="60"/>
      <c r="B387" s="61"/>
      <c r="C387" s="62"/>
      <c r="D387" s="65"/>
      <c r="E387" s="77"/>
      <c r="F387" s="33"/>
      <c r="G387" s="42"/>
      <c r="H387" s="43"/>
      <c r="I387" s="43"/>
      <c r="J387" s="36"/>
      <c r="K387" s="37"/>
      <c r="L387" s="31"/>
      <c r="M387" s="72"/>
      <c r="N387" s="73"/>
      <c r="O387" s="74"/>
      <c r="P387" s="75"/>
      <c r="Q387" s="76"/>
      <c r="S387" s="110" t="s">
        <v>267</v>
      </c>
      <c r="T387" s="12"/>
      <c r="U387" s="12" t="s">
        <v>269</v>
      </c>
      <c r="V387" s="12">
        <v>1</v>
      </c>
      <c r="W387" s="19"/>
      <c r="X387" s="111"/>
    </row>
    <row r="388" spans="1:24" ht="12.75" hidden="1" outlineLevel="1">
      <c r="A388" s="60"/>
      <c r="B388" s="61"/>
      <c r="C388" s="62"/>
      <c r="D388" s="65"/>
      <c r="E388" s="77"/>
      <c r="F388" s="33"/>
      <c r="G388" s="42"/>
      <c r="H388" s="43"/>
      <c r="I388" s="43"/>
      <c r="J388" s="36"/>
      <c r="K388" s="37"/>
      <c r="L388" s="31"/>
      <c r="M388" s="72"/>
      <c r="N388" s="73"/>
      <c r="O388" s="74"/>
      <c r="P388" s="75"/>
      <c r="Q388" s="76"/>
      <c r="S388" s="110" t="s">
        <v>270</v>
      </c>
      <c r="T388" s="12"/>
      <c r="U388" s="12" t="s">
        <v>269</v>
      </c>
      <c r="V388" s="12" t="s">
        <v>269</v>
      </c>
      <c r="W388" s="19"/>
      <c r="X388" s="111"/>
    </row>
    <row r="389" spans="1:24" ht="12.75" hidden="1" outlineLevel="1">
      <c r="A389" s="60"/>
      <c r="B389" s="61"/>
      <c r="C389" s="62"/>
      <c r="D389" s="65"/>
      <c r="E389" s="77"/>
      <c r="F389" s="33"/>
      <c r="G389" s="42"/>
      <c r="H389" s="43"/>
      <c r="I389" s="43"/>
      <c r="J389" s="36"/>
      <c r="K389" s="37">
        <f>+IF(F389="item",J389,IF(F389&lt;&gt;0,F389*J389,""))</f>
      </c>
      <c r="L389" s="31"/>
      <c r="M389" s="72"/>
      <c r="N389" s="73"/>
      <c r="O389" s="74"/>
      <c r="P389" s="75"/>
      <c r="Q389" s="76"/>
      <c r="S389" s="110" t="s">
        <v>271</v>
      </c>
      <c r="T389" s="12"/>
      <c r="U389" s="12" t="s">
        <v>269</v>
      </c>
      <c r="V389" s="12" t="s">
        <v>269</v>
      </c>
      <c r="W389" s="19"/>
      <c r="X389" s="111"/>
    </row>
    <row r="390" spans="1:24" ht="12.75" collapsed="1">
      <c r="A390" s="60"/>
      <c r="B390" s="61"/>
      <c r="C390" s="62"/>
      <c r="D390" s="65"/>
      <c r="E390" s="77"/>
      <c r="F390" s="33"/>
      <c r="G390" s="42"/>
      <c r="H390" s="43"/>
      <c r="I390" s="43"/>
      <c r="J390" s="36"/>
      <c r="K390" s="37"/>
      <c r="L390" s="31"/>
      <c r="M390" s="72"/>
      <c r="N390" s="73"/>
      <c r="O390" s="74"/>
      <c r="P390" s="75"/>
      <c r="Q390" s="76"/>
      <c r="S390" s="110"/>
      <c r="T390" s="12"/>
      <c r="U390" s="12"/>
      <c r="V390" s="12"/>
      <c r="W390" s="19"/>
      <c r="X390" s="111"/>
    </row>
    <row r="391" spans="1:24" ht="12.75">
      <c r="A391" s="60"/>
      <c r="B391" s="61"/>
      <c r="C391" s="62"/>
      <c r="D391" s="65"/>
      <c r="E391" s="77"/>
      <c r="F391" s="33"/>
      <c r="G391" s="42"/>
      <c r="H391" s="43"/>
      <c r="I391" s="43"/>
      <c r="J391" s="36"/>
      <c r="K391" s="37"/>
      <c r="L391" s="31"/>
      <c r="M391" s="72"/>
      <c r="N391" s="73"/>
      <c r="O391" s="74"/>
      <c r="P391" s="75"/>
      <c r="Q391" s="76"/>
      <c r="S391" s="110"/>
      <c r="T391" s="12"/>
      <c r="U391" s="12"/>
      <c r="V391" s="12"/>
      <c r="W391" s="19"/>
      <c r="X391" s="111"/>
    </row>
    <row r="392" spans="1:24" ht="12.75">
      <c r="A392" s="60"/>
      <c r="B392" s="61"/>
      <c r="C392" s="62"/>
      <c r="D392" s="65"/>
      <c r="E392" s="77" t="s">
        <v>147</v>
      </c>
      <c r="F392" s="33"/>
      <c r="G392" s="42"/>
      <c r="H392" s="43"/>
      <c r="I392" s="43"/>
      <c r="J392" s="36"/>
      <c r="K392" s="53">
        <f>SUM(K394:K407)</f>
        <v>6010.3472</v>
      </c>
      <c r="L392" s="31" t="s">
        <v>148</v>
      </c>
      <c r="M392" s="72"/>
      <c r="N392" s="73"/>
      <c r="O392" s="74"/>
      <c r="P392" s="75"/>
      <c r="Q392" s="76"/>
      <c r="S392" s="110"/>
      <c r="T392" s="12"/>
      <c r="U392" s="12"/>
      <c r="V392" s="12"/>
      <c r="W392" s="112">
        <f>SUM(W393:W408)</f>
        <v>294.2</v>
      </c>
      <c r="X392" s="122"/>
    </row>
    <row r="393" spans="1:24" ht="12.75" hidden="1" outlineLevel="1">
      <c r="A393" s="60"/>
      <c r="B393" s="61"/>
      <c r="C393" s="62"/>
      <c r="D393" s="65"/>
      <c r="E393" s="77"/>
      <c r="F393" s="33"/>
      <c r="G393" s="42"/>
      <c r="H393" s="43"/>
      <c r="I393" s="43"/>
      <c r="J393" s="36"/>
      <c r="K393" s="37">
        <f aca="true" t="shared" si="26" ref="K393:K405">+IF(F393="item",J393,IF(F393&lt;&gt;0,F393*J393,""))</f>
      </c>
      <c r="L393" s="44"/>
      <c r="M393" s="72"/>
      <c r="N393" s="73"/>
      <c r="O393" s="74"/>
      <c r="P393" s="75"/>
      <c r="Q393" s="76"/>
      <c r="S393" s="113" t="s">
        <v>257</v>
      </c>
      <c r="T393" s="12"/>
      <c r="U393" s="12"/>
      <c r="V393" s="12"/>
      <c r="W393" s="19"/>
      <c r="X393" s="122"/>
    </row>
    <row r="394" spans="1:24" ht="12.75" hidden="1" outlineLevel="1">
      <c r="A394" s="60"/>
      <c r="B394" s="61"/>
      <c r="C394" s="62"/>
      <c r="D394" s="65"/>
      <c r="E394" s="44" t="s">
        <v>149</v>
      </c>
      <c r="F394" s="33">
        <v>1</v>
      </c>
      <c r="G394" s="42" t="s">
        <v>8</v>
      </c>
      <c r="H394" s="43"/>
      <c r="I394" s="43"/>
      <c r="J394" s="36">
        <f>595*1.2</f>
        <v>714</v>
      </c>
      <c r="K394" s="37">
        <f t="shared" si="26"/>
        <v>714</v>
      </c>
      <c r="L394" s="31"/>
      <c r="M394" s="72"/>
      <c r="N394" s="73"/>
      <c r="O394" s="74"/>
      <c r="P394" s="75"/>
      <c r="Q394" s="76"/>
      <c r="S394" s="110" t="str">
        <f>+E394</f>
        <v>Purchase stove - Stockton 5</v>
      </c>
      <c r="T394" s="114">
        <f>+K394</f>
        <v>714</v>
      </c>
      <c r="U394" s="12"/>
      <c r="V394" s="12">
        <v>20</v>
      </c>
      <c r="W394" s="19">
        <f>ROUND(+IF(V394&gt;0,T394/V394,""),2)</f>
        <v>35.7</v>
      </c>
      <c r="X394" s="122"/>
    </row>
    <row r="395" spans="1:24" ht="12.75" hidden="1" outlineLevel="1">
      <c r="A395" s="60"/>
      <c r="B395" s="61"/>
      <c r="C395" s="62"/>
      <c r="D395" s="65"/>
      <c r="E395" s="44"/>
      <c r="F395" s="33"/>
      <c r="G395" s="42"/>
      <c r="H395" s="43"/>
      <c r="I395" s="43"/>
      <c r="J395" s="36"/>
      <c r="K395" s="37">
        <f t="shared" si="26"/>
      </c>
      <c r="L395" s="31"/>
      <c r="M395" s="72"/>
      <c r="N395" s="73"/>
      <c r="O395" s="74"/>
      <c r="P395" s="75"/>
      <c r="Q395" s="76"/>
      <c r="S395" s="110"/>
      <c r="T395" s="12"/>
      <c r="U395" s="12"/>
      <c r="V395" s="12"/>
      <c r="W395" s="19"/>
      <c r="X395" s="111"/>
    </row>
    <row r="396" spans="1:24" ht="12.75" hidden="1" outlineLevel="1">
      <c r="A396" s="60"/>
      <c r="B396" s="61"/>
      <c r="C396" s="62"/>
      <c r="D396" s="65"/>
      <c r="E396" s="44" t="s">
        <v>150</v>
      </c>
      <c r="F396" s="33">
        <v>1</v>
      </c>
      <c r="G396" s="42" t="s">
        <v>8</v>
      </c>
      <c r="H396" s="43"/>
      <c r="I396" s="43"/>
      <c r="J396" s="36">
        <f>24.96*1.2</f>
        <v>29.951999999999998</v>
      </c>
      <c r="K396" s="37">
        <f t="shared" si="26"/>
        <v>29.951999999999998</v>
      </c>
      <c r="L396" s="31"/>
      <c r="M396" s="72"/>
      <c r="N396" s="73"/>
      <c r="O396" s="74"/>
      <c r="P396" s="75"/>
      <c r="Q396" s="76"/>
      <c r="S396" s="110" t="str">
        <f>+E396</f>
        <v>Smoke control kit</v>
      </c>
      <c r="T396" s="114">
        <f>+K396</f>
        <v>29.951999999999998</v>
      </c>
      <c r="U396" s="12"/>
      <c r="V396" s="12">
        <v>20</v>
      </c>
      <c r="W396" s="19">
        <f>ROUND(+IF(V396&gt;0,T396/V396,""),2)</f>
        <v>1.5</v>
      </c>
      <c r="X396" s="111"/>
    </row>
    <row r="397" spans="1:24" ht="12.75" hidden="1" outlineLevel="1">
      <c r="A397" s="60"/>
      <c r="B397" s="61"/>
      <c r="C397" s="62"/>
      <c r="D397" s="65"/>
      <c r="E397" s="44"/>
      <c r="F397" s="33"/>
      <c r="G397" s="42"/>
      <c r="H397" s="43"/>
      <c r="I397" s="43"/>
      <c r="J397" s="36"/>
      <c r="K397" s="37">
        <f t="shared" si="26"/>
      </c>
      <c r="L397" s="31"/>
      <c r="M397" s="72"/>
      <c r="N397" s="73"/>
      <c r="O397" s="74"/>
      <c r="P397" s="75"/>
      <c r="Q397" s="76"/>
      <c r="S397" s="110"/>
      <c r="T397" s="12"/>
      <c r="U397" s="12"/>
      <c r="V397" s="12"/>
      <c r="W397" s="19"/>
      <c r="X397" s="111"/>
    </row>
    <row r="398" spans="1:24" ht="12.75" hidden="1" outlineLevel="1">
      <c r="A398" s="60"/>
      <c r="B398" s="61"/>
      <c r="C398" s="62"/>
      <c r="D398" s="65"/>
      <c r="E398" s="44" t="s">
        <v>151</v>
      </c>
      <c r="F398" s="33">
        <v>1</v>
      </c>
      <c r="G398" s="42" t="s">
        <v>8</v>
      </c>
      <c r="H398" s="43"/>
      <c r="I398" s="43"/>
      <c r="J398" s="36">
        <f>300*1.2</f>
        <v>360</v>
      </c>
      <c r="K398" s="37">
        <f t="shared" si="26"/>
        <v>360</v>
      </c>
      <c r="L398" s="31"/>
      <c r="M398" s="72"/>
      <c r="N398" s="73"/>
      <c r="O398" s="74"/>
      <c r="P398" s="75"/>
      <c r="Q398" s="76"/>
      <c r="S398" s="110"/>
      <c r="T398" s="12"/>
      <c r="U398" s="12"/>
      <c r="V398" s="12"/>
      <c r="W398" s="19"/>
      <c r="X398" s="111"/>
    </row>
    <row r="399" spans="1:24" ht="12.75" hidden="1" outlineLevel="1">
      <c r="A399" s="60"/>
      <c r="B399" s="61"/>
      <c r="C399" s="62"/>
      <c r="D399" s="65"/>
      <c r="E399" s="44"/>
      <c r="F399" s="33"/>
      <c r="G399" s="42"/>
      <c r="H399" s="43"/>
      <c r="I399" s="43"/>
      <c r="J399" s="36"/>
      <c r="K399" s="37">
        <f t="shared" si="26"/>
      </c>
      <c r="L399" s="31"/>
      <c r="M399" s="72"/>
      <c r="N399" s="73"/>
      <c r="O399" s="74"/>
      <c r="P399" s="75"/>
      <c r="Q399" s="76"/>
      <c r="S399" s="110"/>
      <c r="T399" s="12"/>
      <c r="U399" s="12"/>
      <c r="V399" s="12"/>
      <c r="W399" s="19"/>
      <c r="X399" s="111"/>
    </row>
    <row r="400" spans="1:24" ht="12.75" hidden="1" outlineLevel="1">
      <c r="A400" s="60"/>
      <c r="B400" s="61"/>
      <c r="C400" s="62"/>
      <c r="D400" s="65"/>
      <c r="E400" s="44" t="s">
        <v>394</v>
      </c>
      <c r="F400" s="33">
        <v>1</v>
      </c>
      <c r="G400" s="42" t="s">
        <v>8</v>
      </c>
      <c r="H400" s="43"/>
      <c r="I400" s="43"/>
      <c r="J400" s="36">
        <v>750</v>
      </c>
      <c r="K400" s="37">
        <f t="shared" si="26"/>
        <v>750</v>
      </c>
      <c r="L400" s="31"/>
      <c r="M400" s="72"/>
      <c r="N400" s="73"/>
      <c r="O400" s="74"/>
      <c r="P400" s="75"/>
      <c r="Q400" s="76"/>
      <c r="S400" s="110"/>
      <c r="T400" s="12"/>
      <c r="U400" s="12"/>
      <c r="V400" s="12"/>
      <c r="W400" s="19"/>
      <c r="X400" s="111"/>
    </row>
    <row r="401" spans="1:24" ht="12.75" hidden="1" outlineLevel="1">
      <c r="A401" s="60"/>
      <c r="B401" s="61"/>
      <c r="C401" s="62"/>
      <c r="D401" s="65"/>
      <c r="E401" s="44"/>
      <c r="F401" s="33"/>
      <c r="G401" s="42"/>
      <c r="H401" s="43"/>
      <c r="I401" s="43"/>
      <c r="J401" s="36"/>
      <c r="K401" s="37">
        <f t="shared" si="26"/>
      </c>
      <c r="L401" s="31"/>
      <c r="M401" s="72"/>
      <c r="N401" s="73"/>
      <c r="O401" s="74"/>
      <c r="P401" s="75"/>
      <c r="Q401" s="76"/>
      <c r="S401" s="110"/>
      <c r="T401" s="12"/>
      <c r="U401" s="12"/>
      <c r="V401" s="12"/>
      <c r="W401" s="19"/>
      <c r="X401" s="111"/>
    </row>
    <row r="402" spans="1:24" ht="12.75" hidden="1" outlineLevel="1">
      <c r="A402" s="60"/>
      <c r="B402" s="61"/>
      <c r="C402" s="62"/>
      <c r="D402" s="65"/>
      <c r="E402" s="44" t="s">
        <v>395</v>
      </c>
      <c r="F402" s="33">
        <v>1</v>
      </c>
      <c r="G402" s="42" t="s">
        <v>8</v>
      </c>
      <c r="H402" s="43"/>
      <c r="I402" s="43"/>
      <c r="J402" s="36">
        <v>3500</v>
      </c>
      <c r="K402" s="37">
        <f t="shared" si="26"/>
        <v>3500</v>
      </c>
      <c r="L402" s="31" t="s">
        <v>396</v>
      </c>
      <c r="M402" s="72"/>
      <c r="N402" s="73"/>
      <c r="O402" s="74"/>
      <c r="P402" s="75"/>
      <c r="Q402" s="76"/>
      <c r="S402" s="110" t="str">
        <f>+E402</f>
        <v>External stainless steel flue</v>
      </c>
      <c r="T402" s="114">
        <f>+K402</f>
        <v>3500</v>
      </c>
      <c r="U402" s="12"/>
      <c r="V402" s="12">
        <v>20</v>
      </c>
      <c r="W402" s="19">
        <f>ROUND(+IF(V402&gt;0,T402/V402,""),2)</f>
        <v>175</v>
      </c>
      <c r="X402" s="111"/>
    </row>
    <row r="403" spans="1:24" ht="12.75" hidden="1" outlineLevel="1">
      <c r="A403" s="60"/>
      <c r="B403" s="61"/>
      <c r="C403" s="62"/>
      <c r="D403" s="65"/>
      <c r="E403" s="44"/>
      <c r="F403" s="33"/>
      <c r="G403" s="42"/>
      <c r="H403" s="43"/>
      <c r="I403" s="43"/>
      <c r="J403" s="36"/>
      <c r="K403" s="37">
        <f t="shared" si="26"/>
      </c>
      <c r="L403" s="31"/>
      <c r="M403" s="72"/>
      <c r="N403" s="73"/>
      <c r="O403" s="74"/>
      <c r="P403" s="75"/>
      <c r="Q403" s="76"/>
      <c r="S403" s="110"/>
      <c r="T403" s="12"/>
      <c r="U403" s="12"/>
      <c r="V403" s="12"/>
      <c r="W403" s="19"/>
      <c r="X403" s="111"/>
    </row>
    <row r="404" spans="1:24" ht="25.5" hidden="1" outlineLevel="1">
      <c r="A404" s="60"/>
      <c r="B404" s="61"/>
      <c r="C404" s="62"/>
      <c r="D404" s="65"/>
      <c r="E404" s="44" t="s">
        <v>153</v>
      </c>
      <c r="F404" s="33">
        <v>1</v>
      </c>
      <c r="G404" s="42" t="s">
        <v>8</v>
      </c>
      <c r="H404" s="43">
        <v>2</v>
      </c>
      <c r="I404" s="43">
        <v>50</v>
      </c>
      <c r="J404" s="36">
        <f>IF(+I404+H404&gt;0,I404+(H404*labour),"")</f>
        <v>110</v>
      </c>
      <c r="K404" s="37">
        <f t="shared" si="26"/>
        <v>110</v>
      </c>
      <c r="L404" s="31"/>
      <c r="M404" s="72"/>
      <c r="N404" s="73"/>
      <c r="O404" s="74"/>
      <c r="P404" s="75"/>
      <c r="Q404" s="76"/>
      <c r="S404" s="113" t="s">
        <v>251</v>
      </c>
      <c r="T404" s="12"/>
      <c r="U404" s="12"/>
      <c r="V404" s="12"/>
      <c r="W404" s="19"/>
      <c r="X404" s="111" t="s">
        <v>272</v>
      </c>
    </row>
    <row r="405" spans="1:24" ht="12.75" hidden="1" outlineLevel="1">
      <c r="A405" s="60"/>
      <c r="B405" s="61"/>
      <c r="C405" s="62"/>
      <c r="D405" s="65"/>
      <c r="E405" s="44"/>
      <c r="F405" s="33"/>
      <c r="G405" s="42"/>
      <c r="H405" s="43"/>
      <c r="I405" s="43"/>
      <c r="J405" s="36">
        <f>IF(+I405+H405&gt;0,I405+(H405*labour),"")</f>
      </c>
      <c r="K405" s="37">
        <f t="shared" si="26"/>
      </c>
      <c r="L405" s="31"/>
      <c r="M405" s="72"/>
      <c r="N405" s="73"/>
      <c r="O405" s="74"/>
      <c r="P405" s="75"/>
      <c r="Q405" s="76"/>
      <c r="S405" s="110" t="s">
        <v>273</v>
      </c>
      <c r="T405" s="12"/>
      <c r="U405" s="12">
        <v>70</v>
      </c>
      <c r="V405" s="12">
        <v>1</v>
      </c>
      <c r="W405" s="19">
        <f>+U405/V405</f>
        <v>70</v>
      </c>
      <c r="X405" s="111"/>
    </row>
    <row r="406" spans="1:24" ht="12.75" hidden="1" outlineLevel="1">
      <c r="A406" s="60"/>
      <c r="B406" s="61"/>
      <c r="C406" s="62"/>
      <c r="D406" s="65"/>
      <c r="E406" s="38" t="s">
        <v>362</v>
      </c>
      <c r="F406" s="33">
        <v>10</v>
      </c>
      <c r="G406" s="34" t="s">
        <v>363</v>
      </c>
      <c r="H406" s="39"/>
      <c r="I406" s="164"/>
      <c r="J406" s="39">
        <f>SUM(K393:K405)</f>
        <v>5463.952</v>
      </c>
      <c r="K406" s="37">
        <f>+J406*F406%</f>
        <v>546.3952</v>
      </c>
      <c r="L406" s="31"/>
      <c r="M406" s="72"/>
      <c r="N406" s="73"/>
      <c r="O406" s="74"/>
      <c r="P406" s="75"/>
      <c r="Q406" s="76"/>
      <c r="S406" s="110"/>
      <c r="T406" s="12"/>
      <c r="U406" s="12"/>
      <c r="V406" s="12"/>
      <c r="W406" s="19"/>
      <c r="X406" s="111"/>
    </row>
    <row r="407" spans="1:24" ht="12.75" hidden="1" outlineLevel="1">
      <c r="A407" s="60"/>
      <c r="B407" s="61"/>
      <c r="C407" s="62"/>
      <c r="D407" s="65"/>
      <c r="E407" s="44"/>
      <c r="F407" s="33"/>
      <c r="G407" s="42"/>
      <c r="H407" s="43"/>
      <c r="I407" s="43"/>
      <c r="J407" s="36">
        <f>+K191</f>
      </c>
      <c r="K407" s="37">
        <f>+IF(F407="item",J407,IF(F407&lt;&gt;0,F407*J407,""))</f>
      </c>
      <c r="L407" s="31"/>
      <c r="M407" s="72"/>
      <c r="N407" s="73"/>
      <c r="O407" s="74"/>
      <c r="P407" s="75"/>
      <c r="Q407" s="76"/>
      <c r="S407" s="110" t="s">
        <v>275</v>
      </c>
      <c r="T407" s="12"/>
      <c r="U407" s="12">
        <v>60</v>
      </c>
      <c r="V407" s="12">
        <v>5</v>
      </c>
      <c r="W407" s="19">
        <f>+U407/V407</f>
        <v>12</v>
      </c>
      <c r="X407" s="111"/>
    </row>
    <row r="408" spans="1:24" ht="12.75" collapsed="1">
      <c r="A408" s="60"/>
      <c r="B408" s="61"/>
      <c r="C408" s="62"/>
      <c r="D408" s="65"/>
      <c r="E408" s="44"/>
      <c r="F408" s="33"/>
      <c r="G408" s="42"/>
      <c r="H408" s="43"/>
      <c r="I408" s="43"/>
      <c r="J408" s="36">
        <f>IF(+I408+H408&gt;0,I408+(H408*labour),"")</f>
      </c>
      <c r="K408" s="37">
        <f>+IF(F408="item",J408,IF(F408&lt;&gt;0,F408*J408,""))</f>
      </c>
      <c r="L408" s="31"/>
      <c r="M408" s="72"/>
      <c r="N408" s="73"/>
      <c r="O408" s="74"/>
      <c r="P408" s="75"/>
      <c r="Q408" s="76"/>
      <c r="S408" s="110"/>
      <c r="T408" s="12"/>
      <c r="U408" s="12"/>
      <c r="V408" s="12"/>
      <c r="W408" s="19"/>
      <c r="X408" s="111"/>
    </row>
    <row r="409" spans="1:24" ht="12.75">
      <c r="A409" s="60"/>
      <c r="B409" s="61"/>
      <c r="C409" s="62"/>
      <c r="D409" s="65"/>
      <c r="E409" s="44"/>
      <c r="F409" s="33"/>
      <c r="G409" s="42"/>
      <c r="H409" s="43"/>
      <c r="I409" s="43"/>
      <c r="J409" s="36">
        <f>IF(+I409+H409&gt;0,I409+(H409*labour),"")</f>
      </c>
      <c r="K409" s="37">
        <f>+IF(F409="item",J409,IF(F409&lt;&gt;0,F409*J409,""))</f>
      </c>
      <c r="L409" s="31"/>
      <c r="M409" s="72"/>
      <c r="N409" s="73"/>
      <c r="O409" s="74"/>
      <c r="P409" s="75"/>
      <c r="Q409" s="76"/>
      <c r="S409" s="110"/>
      <c r="T409" s="12"/>
      <c r="U409" s="12"/>
      <c r="V409" s="12"/>
      <c r="W409" s="19"/>
      <c r="X409" s="111"/>
    </row>
    <row r="410" spans="1:24" ht="12.75">
      <c r="A410" s="60"/>
      <c r="B410" s="61"/>
      <c r="C410" s="62"/>
      <c r="D410" s="65"/>
      <c r="E410" s="77" t="s">
        <v>156</v>
      </c>
      <c r="F410" s="33"/>
      <c r="G410" s="42"/>
      <c r="H410" s="43"/>
      <c r="I410" s="43"/>
      <c r="J410" s="36">
        <f>IF(+I410+H410&gt;0,I410+(H410*labour),"")</f>
      </c>
      <c r="K410" s="53">
        <v>4800</v>
      </c>
      <c r="L410" s="31"/>
      <c r="M410" s="72"/>
      <c r="N410" s="73"/>
      <c r="O410" s="74"/>
      <c r="P410" s="75"/>
      <c r="Q410" s="76"/>
      <c r="S410" s="110"/>
      <c r="T410" s="12"/>
      <c r="U410" s="12"/>
      <c r="V410" s="12"/>
      <c r="W410" s="112">
        <f>SUM(W411:W413)</f>
        <v>310</v>
      </c>
      <c r="X410" s="111"/>
    </row>
    <row r="411" spans="1:24" ht="12.75" hidden="1" outlineLevel="1">
      <c r="A411" s="60"/>
      <c r="B411" s="61"/>
      <c r="C411" s="62"/>
      <c r="D411" s="65"/>
      <c r="E411" s="77"/>
      <c r="F411" s="33"/>
      <c r="G411" s="42"/>
      <c r="H411" s="43"/>
      <c r="I411" s="43"/>
      <c r="J411" s="36"/>
      <c r="K411" s="37"/>
      <c r="L411" s="31"/>
      <c r="M411" s="72"/>
      <c r="N411" s="73"/>
      <c r="O411" s="74"/>
      <c r="P411" s="75"/>
      <c r="Q411" s="76"/>
      <c r="S411" s="113" t="s">
        <v>257</v>
      </c>
      <c r="T411" s="114">
        <f>+K410</f>
        <v>4800</v>
      </c>
      <c r="U411" s="12"/>
      <c r="V411" s="12">
        <v>20</v>
      </c>
      <c r="W411" s="19">
        <f>+T411/V411</f>
        <v>240</v>
      </c>
      <c r="X411" s="111"/>
    </row>
    <row r="412" spans="1:24" ht="12.75" hidden="1" outlineLevel="1">
      <c r="A412" s="60"/>
      <c r="B412" s="61"/>
      <c r="C412" s="62"/>
      <c r="D412" s="65"/>
      <c r="E412" s="44" t="s">
        <v>158</v>
      </c>
      <c r="F412" s="33"/>
      <c r="G412" s="42"/>
      <c r="H412" s="43"/>
      <c r="I412" s="43"/>
      <c r="J412" s="36"/>
      <c r="K412" s="37"/>
      <c r="L412" s="31"/>
      <c r="M412" s="72"/>
      <c r="N412" s="73"/>
      <c r="O412" s="74"/>
      <c r="P412" s="75"/>
      <c r="Q412" s="76"/>
      <c r="S412" s="113" t="s">
        <v>251</v>
      </c>
      <c r="T412" s="12"/>
      <c r="U412" s="12"/>
      <c r="V412" s="12"/>
      <c r="W412" s="19"/>
      <c r="X412" s="111"/>
    </row>
    <row r="413" spans="1:24" ht="38.25" hidden="1" outlineLevel="1">
      <c r="A413" s="60"/>
      <c r="B413" s="61"/>
      <c r="C413" s="62"/>
      <c r="D413" s="65"/>
      <c r="E413" s="44"/>
      <c r="F413" s="33"/>
      <c r="G413" s="42"/>
      <c r="H413" s="43"/>
      <c r="I413" s="43"/>
      <c r="J413" s="36">
        <f>IF(+I413+H413&gt;0,I413+(H413*labour),"")</f>
      </c>
      <c r="K413" s="37">
        <f>+IF(F413="item",J413,IF(F413&lt;&gt;0,F413*J413,""))</f>
      </c>
      <c r="L413" s="69" t="s">
        <v>162</v>
      </c>
      <c r="M413" s="72"/>
      <c r="N413" s="73"/>
      <c r="O413" s="74"/>
      <c r="P413" s="75"/>
      <c r="Q413" s="76"/>
      <c r="S413" s="110" t="s">
        <v>276</v>
      </c>
      <c r="T413" s="12"/>
      <c r="U413" s="12">
        <v>70</v>
      </c>
      <c r="V413" s="12">
        <v>1</v>
      </c>
      <c r="W413" s="19">
        <f>+U413/V413</f>
        <v>70</v>
      </c>
      <c r="X413" s="111"/>
    </row>
    <row r="414" spans="1:24" ht="12.75" collapsed="1">
      <c r="A414" s="60"/>
      <c r="B414" s="61"/>
      <c r="C414" s="62"/>
      <c r="D414" s="65"/>
      <c r="E414" s="44"/>
      <c r="F414" s="33"/>
      <c r="G414" s="42"/>
      <c r="H414" s="43"/>
      <c r="I414" s="43"/>
      <c r="J414" s="36">
        <f>IF(+I414+H414&gt;0,I414+(H414*labour),"")</f>
      </c>
      <c r="K414" s="37">
        <f>+IF(F414="item",J414,IF(F414&lt;&gt;0,F414*J414,""))</f>
      </c>
      <c r="L414" s="31"/>
      <c r="M414" s="72"/>
      <c r="N414" s="73"/>
      <c r="O414" s="74"/>
      <c r="P414" s="75"/>
      <c r="Q414" s="76"/>
      <c r="S414" s="110"/>
      <c r="T414" s="12"/>
      <c r="U414" s="12"/>
      <c r="V414" s="12"/>
      <c r="W414" s="19"/>
      <c r="X414" s="111"/>
    </row>
    <row r="415" spans="1:24" ht="12.75">
      <c r="A415" s="60"/>
      <c r="B415" s="61"/>
      <c r="C415" s="62"/>
      <c r="D415" s="65"/>
      <c r="E415" s="44"/>
      <c r="F415" s="33"/>
      <c r="G415" s="42"/>
      <c r="H415" s="43"/>
      <c r="I415" s="43"/>
      <c r="J415" s="36"/>
      <c r="K415" s="37"/>
      <c r="L415" s="31"/>
      <c r="M415" s="72"/>
      <c r="N415" s="73"/>
      <c r="O415" s="74"/>
      <c r="P415" s="75"/>
      <c r="Q415" s="76"/>
      <c r="S415" s="110"/>
      <c r="T415" s="12"/>
      <c r="U415" s="12"/>
      <c r="V415" s="12"/>
      <c r="W415" s="19"/>
      <c r="X415" s="111"/>
    </row>
    <row r="416" spans="1:24" ht="12.75">
      <c r="A416" s="60"/>
      <c r="B416" s="61"/>
      <c r="C416" s="62"/>
      <c r="D416" s="65"/>
      <c r="E416" s="77" t="s">
        <v>161</v>
      </c>
      <c r="F416" s="33"/>
      <c r="G416" s="42"/>
      <c r="H416" s="43"/>
      <c r="I416" s="43"/>
      <c r="J416" s="36">
        <f aca="true" t="shared" si="27" ref="J416:J423">IF(+I416+H416&gt;0,I416+(H416*labour),"")</f>
      </c>
      <c r="K416" s="53">
        <v>18000</v>
      </c>
      <c r="L416" s="31" t="s">
        <v>159</v>
      </c>
      <c r="M416" s="72"/>
      <c r="N416" s="73"/>
      <c r="O416" s="74"/>
      <c r="P416" s="75"/>
      <c r="Q416" s="76"/>
      <c r="S416" s="110"/>
      <c r="T416" s="12"/>
      <c r="U416" s="12"/>
      <c r="V416" s="12"/>
      <c r="W416" s="112">
        <f>SUM(W417:W419)</f>
        <v>970</v>
      </c>
      <c r="X416" s="111"/>
    </row>
    <row r="417" spans="1:24" ht="12.75">
      <c r="A417" s="60"/>
      <c r="B417" s="61"/>
      <c r="C417" s="62"/>
      <c r="D417" s="65"/>
      <c r="E417" s="44"/>
      <c r="F417" s="33"/>
      <c r="G417" s="42"/>
      <c r="H417" s="43"/>
      <c r="I417" s="43"/>
      <c r="J417" s="36">
        <f t="shared" si="27"/>
      </c>
      <c r="K417" s="37">
        <f aca="true" t="shared" si="28" ref="K417:K422">+IF(F417="item",J417,IF(F417&lt;&gt;0,F417*J417,""))</f>
      </c>
      <c r="L417" s="31"/>
      <c r="M417" s="72"/>
      <c r="N417" s="73"/>
      <c r="O417" s="74"/>
      <c r="P417" s="75"/>
      <c r="Q417" s="76"/>
      <c r="S417" s="113" t="s">
        <v>257</v>
      </c>
      <c r="T417" s="114">
        <f>+K416</f>
        <v>18000</v>
      </c>
      <c r="U417" s="12"/>
      <c r="V417" s="12">
        <v>20</v>
      </c>
      <c r="W417" s="19">
        <f>+T417/V417</f>
        <v>900</v>
      </c>
      <c r="X417" s="111"/>
    </row>
    <row r="418" spans="1:24" ht="12.75" hidden="1" outlineLevel="1">
      <c r="A418" s="60"/>
      <c r="B418" s="61"/>
      <c r="C418" s="62"/>
      <c r="D418" s="65"/>
      <c r="E418" s="44" t="s">
        <v>158</v>
      </c>
      <c r="F418" s="33"/>
      <c r="G418" s="42"/>
      <c r="H418" s="43"/>
      <c r="I418" s="43"/>
      <c r="J418" s="36">
        <f t="shared" si="27"/>
      </c>
      <c r="K418" s="37">
        <f t="shared" si="28"/>
      </c>
      <c r="L418" s="31" t="s">
        <v>160</v>
      </c>
      <c r="M418" s="72"/>
      <c r="N418" s="73"/>
      <c r="O418" s="74"/>
      <c r="P418" s="75"/>
      <c r="Q418" s="76"/>
      <c r="S418" s="113" t="s">
        <v>251</v>
      </c>
      <c r="T418" s="12"/>
      <c r="U418" s="12"/>
      <c r="V418" s="12"/>
      <c r="W418" s="19"/>
      <c r="X418" s="111"/>
    </row>
    <row r="419" spans="1:24" ht="12.75" hidden="1" outlineLevel="1">
      <c r="A419" s="60"/>
      <c r="B419" s="61"/>
      <c r="C419" s="62"/>
      <c r="D419" s="65"/>
      <c r="E419" s="44"/>
      <c r="F419" s="33"/>
      <c r="G419" s="42"/>
      <c r="H419" s="43"/>
      <c r="I419" s="43"/>
      <c r="J419" s="36">
        <f t="shared" si="27"/>
      </c>
      <c r="K419" s="37">
        <f t="shared" si="28"/>
      </c>
      <c r="L419" s="31"/>
      <c r="M419" s="72"/>
      <c r="N419" s="73"/>
      <c r="O419" s="74"/>
      <c r="P419" s="75"/>
      <c r="Q419" s="76"/>
      <c r="S419" s="110" t="s">
        <v>276</v>
      </c>
      <c r="T419" s="12"/>
      <c r="U419" s="12">
        <v>70</v>
      </c>
      <c r="V419" s="12">
        <v>1</v>
      </c>
      <c r="W419" s="19">
        <f>+U419/V419</f>
        <v>70</v>
      </c>
      <c r="X419" s="111"/>
    </row>
    <row r="420" spans="1:24" ht="38.25" hidden="1" outlineLevel="1">
      <c r="A420" s="60"/>
      <c r="B420" s="61"/>
      <c r="C420" s="62"/>
      <c r="D420" s="65"/>
      <c r="E420" s="44"/>
      <c r="F420" s="33"/>
      <c r="G420" s="42"/>
      <c r="H420" s="43"/>
      <c r="I420" s="43"/>
      <c r="J420" s="36">
        <f t="shared" si="27"/>
      </c>
      <c r="K420" s="37">
        <f t="shared" si="28"/>
      </c>
      <c r="L420" s="69" t="s">
        <v>157</v>
      </c>
      <c r="M420" s="72"/>
      <c r="N420" s="73"/>
      <c r="O420" s="74"/>
      <c r="P420" s="75"/>
      <c r="Q420" s="76"/>
      <c r="S420" s="110"/>
      <c r="T420" s="12"/>
      <c r="U420" s="12"/>
      <c r="V420" s="12"/>
      <c r="W420" s="19"/>
      <c r="X420" s="111"/>
    </row>
    <row r="421" spans="1:24" ht="12.75" collapsed="1">
      <c r="A421" s="60"/>
      <c r="B421" s="61"/>
      <c r="C421" s="62"/>
      <c r="D421" s="65"/>
      <c r="E421" s="44"/>
      <c r="F421" s="33"/>
      <c r="G421" s="42"/>
      <c r="H421" s="43"/>
      <c r="I421" s="43"/>
      <c r="J421" s="36">
        <f t="shared" si="27"/>
      </c>
      <c r="K421" s="37">
        <f t="shared" si="28"/>
      </c>
      <c r="L421" s="31"/>
      <c r="M421" s="72"/>
      <c r="N421" s="73"/>
      <c r="O421" s="74"/>
      <c r="P421" s="75"/>
      <c r="Q421" s="76"/>
      <c r="S421" s="110"/>
      <c r="T421" s="12"/>
      <c r="U421" s="12"/>
      <c r="V421" s="12"/>
      <c r="W421" s="19"/>
      <c r="X421" s="111"/>
    </row>
    <row r="422" spans="1:24" ht="12.75">
      <c r="A422" s="60"/>
      <c r="B422" s="61"/>
      <c r="C422" s="62"/>
      <c r="D422" s="65"/>
      <c r="E422" s="44"/>
      <c r="F422" s="33"/>
      <c r="G422" s="42"/>
      <c r="H422" s="43"/>
      <c r="I422" s="43"/>
      <c r="J422" s="36">
        <f t="shared" si="27"/>
      </c>
      <c r="K422" s="37">
        <f t="shared" si="28"/>
      </c>
      <c r="L422" s="31"/>
      <c r="M422" s="72"/>
      <c r="N422" s="73"/>
      <c r="O422" s="74"/>
      <c r="P422" s="75"/>
      <c r="Q422" s="76"/>
      <c r="S422" s="110"/>
      <c r="T422" s="12"/>
      <c r="U422" s="12"/>
      <c r="V422" s="12"/>
      <c r="W422" s="19"/>
      <c r="X422" s="111"/>
    </row>
    <row r="423" spans="1:24" ht="38.25">
      <c r="A423" s="60"/>
      <c r="B423" s="61"/>
      <c r="C423" s="62"/>
      <c r="D423" s="65"/>
      <c r="E423" s="77" t="s">
        <v>163</v>
      </c>
      <c r="F423" s="33"/>
      <c r="G423" s="42"/>
      <c r="H423" s="43"/>
      <c r="I423" s="43"/>
      <c r="J423" s="36">
        <f t="shared" si="27"/>
      </c>
      <c r="K423" s="53">
        <f>SUM(K424:K431)</f>
        <v>8124.094</v>
      </c>
      <c r="L423" s="31"/>
      <c r="M423" s="72"/>
      <c r="N423" s="73"/>
      <c r="O423" s="74"/>
      <c r="P423" s="75"/>
      <c r="Q423" s="76"/>
      <c r="S423" s="110"/>
      <c r="T423" s="12"/>
      <c r="U423" s="12"/>
      <c r="V423" s="12"/>
      <c r="W423" s="19"/>
      <c r="X423" s="116" t="s">
        <v>264</v>
      </c>
    </row>
    <row r="424" spans="1:24" ht="12.75" hidden="1" outlineLevel="1">
      <c r="A424" s="60"/>
      <c r="B424" s="61"/>
      <c r="C424" s="62"/>
      <c r="D424" s="65"/>
      <c r="E424" s="44" t="s">
        <v>165</v>
      </c>
      <c r="F424" s="33">
        <v>1</v>
      </c>
      <c r="G424" s="42" t="s">
        <v>8</v>
      </c>
      <c r="H424" s="43"/>
      <c r="I424" s="43"/>
      <c r="J424" s="36">
        <v>6565.54</v>
      </c>
      <c r="K424" s="37">
        <f>+IF(F424="item",J424,IF(F424&lt;&gt;0,F424*J424,""))</f>
        <v>6565.54</v>
      </c>
      <c r="L424" s="31" t="s">
        <v>166</v>
      </c>
      <c r="M424" s="72"/>
      <c r="N424" s="73"/>
      <c r="O424" s="74"/>
      <c r="P424" s="75"/>
      <c r="Q424" s="76"/>
      <c r="S424" s="110"/>
      <c r="T424" s="12"/>
      <c r="U424" s="12"/>
      <c r="V424" s="12"/>
      <c r="W424" s="19"/>
      <c r="X424" s="111"/>
    </row>
    <row r="425" spans="1:24" ht="51" customHeight="1" hidden="1" outlineLevel="1">
      <c r="A425" s="60"/>
      <c r="B425" s="61"/>
      <c r="C425" s="62"/>
      <c r="D425" s="65"/>
      <c r="E425" s="44"/>
      <c r="F425" s="33"/>
      <c r="G425" s="42"/>
      <c r="H425" s="43"/>
      <c r="I425" s="43"/>
      <c r="J425" s="36">
        <f>IF(+I425+H425&gt;0,I425+(H425*labour),"")</f>
      </c>
      <c r="K425" s="37">
        <f>+IF(F425="item",J425,IF(F425&lt;&gt;0,F425*J425,""))</f>
      </c>
      <c r="L425" s="69" t="s">
        <v>164</v>
      </c>
      <c r="M425" s="72"/>
      <c r="N425" s="73"/>
      <c r="O425" s="74"/>
      <c r="P425" s="75"/>
      <c r="Q425" s="76"/>
      <c r="S425" s="110"/>
      <c r="T425" s="12"/>
      <c r="U425" s="12"/>
      <c r="V425" s="12"/>
      <c r="W425" s="19"/>
      <c r="X425" s="111"/>
    </row>
    <row r="426" spans="1:24" ht="12.75" hidden="1" outlineLevel="1">
      <c r="A426" s="60"/>
      <c r="B426" s="61"/>
      <c r="C426" s="62"/>
      <c r="D426" s="65"/>
      <c r="E426" s="44" t="s">
        <v>167</v>
      </c>
      <c r="F426" s="33" t="s">
        <v>1</v>
      </c>
      <c r="G426" s="42"/>
      <c r="H426" s="43">
        <v>24</v>
      </c>
      <c r="I426" s="43"/>
      <c r="J426" s="36">
        <f>IF(+I426+H426&gt;0,I426+(H426*labour),"")</f>
        <v>720</v>
      </c>
      <c r="K426" s="37">
        <f>+IF(F426="item",J426,IF(F426&lt;&gt;0,F426*J426,""))</f>
        <v>720</v>
      </c>
      <c r="L426" s="31" t="s">
        <v>168</v>
      </c>
      <c r="M426" s="72"/>
      <c r="N426" s="73"/>
      <c r="O426" s="74"/>
      <c r="P426" s="75"/>
      <c r="Q426" s="76"/>
      <c r="S426" s="110"/>
      <c r="T426" s="12"/>
      <c r="U426" s="12"/>
      <c r="V426" s="12"/>
      <c r="W426" s="19"/>
      <c r="X426" s="111"/>
    </row>
    <row r="427" spans="1:24" ht="12.75" hidden="1" outlineLevel="1">
      <c r="A427" s="60"/>
      <c r="B427" s="61"/>
      <c r="C427" s="62"/>
      <c r="D427" s="65"/>
      <c r="E427" s="44"/>
      <c r="F427" s="33"/>
      <c r="G427" s="42"/>
      <c r="H427" s="43"/>
      <c r="I427" s="43"/>
      <c r="J427" s="36">
        <f>IF(+I427+H427&gt;0,I427+(H427*labour),"")</f>
      </c>
      <c r="K427" s="37">
        <f>+IF(F427="item",J427,IF(F427&lt;&gt;0,F427*J427,""))</f>
      </c>
      <c r="L427" s="69" t="s">
        <v>169</v>
      </c>
      <c r="M427" s="72"/>
      <c r="N427" s="73"/>
      <c r="O427" s="74"/>
      <c r="P427" s="75"/>
      <c r="Q427" s="76"/>
      <c r="S427" s="110"/>
      <c r="T427" s="12"/>
      <c r="U427" s="12"/>
      <c r="V427" s="12"/>
      <c r="W427" s="19"/>
      <c r="X427" s="111"/>
    </row>
    <row r="428" spans="1:24" ht="12.75" hidden="1" outlineLevel="1">
      <c r="A428" s="60"/>
      <c r="B428" s="61"/>
      <c r="C428" s="62"/>
      <c r="D428" s="65"/>
      <c r="E428" s="44" t="s">
        <v>43</v>
      </c>
      <c r="F428" s="33" t="s">
        <v>1</v>
      </c>
      <c r="G428" s="42"/>
      <c r="H428" s="43"/>
      <c r="I428" s="43"/>
      <c r="J428" s="36">
        <v>100</v>
      </c>
      <c r="K428" s="37">
        <f>+IF(F428="item",J428,IF(F428&lt;&gt;0,F428*J428,""))</f>
        <v>100</v>
      </c>
      <c r="L428" s="31"/>
      <c r="M428" s="72"/>
      <c r="N428" s="73"/>
      <c r="O428" s="74"/>
      <c r="P428" s="75"/>
      <c r="Q428" s="76"/>
      <c r="S428" s="110"/>
      <c r="T428" s="12"/>
      <c r="U428" s="12"/>
      <c r="V428" s="12"/>
      <c r="W428" s="19"/>
      <c r="X428" s="111"/>
    </row>
    <row r="429" spans="1:24" ht="12.75" hidden="1" outlineLevel="1">
      <c r="A429" s="60"/>
      <c r="B429" s="61"/>
      <c r="C429" s="62"/>
      <c r="D429" s="65"/>
      <c r="E429" s="44"/>
      <c r="F429" s="33"/>
      <c r="G429" s="42"/>
      <c r="H429" s="43"/>
      <c r="I429" s="43"/>
      <c r="J429" s="36"/>
      <c r="K429" s="37"/>
      <c r="L429" s="31"/>
      <c r="M429" s="72"/>
      <c r="N429" s="73"/>
      <c r="O429" s="74"/>
      <c r="P429" s="75"/>
      <c r="Q429" s="76"/>
      <c r="S429" s="110"/>
      <c r="T429" s="12"/>
      <c r="U429" s="12"/>
      <c r="V429" s="12"/>
      <c r="W429" s="19"/>
      <c r="X429" s="111"/>
    </row>
    <row r="430" spans="1:24" ht="12.75" hidden="1" outlineLevel="1">
      <c r="A430" s="60"/>
      <c r="B430" s="61"/>
      <c r="C430" s="62"/>
      <c r="D430" s="65"/>
      <c r="E430" s="38" t="s">
        <v>362</v>
      </c>
      <c r="F430" s="33">
        <v>10</v>
      </c>
      <c r="G430" s="34" t="s">
        <v>363</v>
      </c>
      <c r="H430" s="39"/>
      <c r="I430" s="39"/>
      <c r="J430" s="36">
        <f>SUM(K424:K429)</f>
        <v>7385.54</v>
      </c>
      <c r="K430" s="37">
        <f>+J430*F430%</f>
        <v>738.5540000000001</v>
      </c>
      <c r="L430" s="31"/>
      <c r="M430" s="72"/>
      <c r="N430" s="73"/>
      <c r="O430" s="74"/>
      <c r="P430" s="75"/>
      <c r="Q430" s="76"/>
      <c r="S430" s="110"/>
      <c r="T430" s="12"/>
      <c r="U430" s="12"/>
      <c r="V430" s="12"/>
      <c r="W430" s="19"/>
      <c r="X430" s="111"/>
    </row>
    <row r="431" spans="1:24" ht="12.75" collapsed="1">
      <c r="A431" s="60"/>
      <c r="B431" s="61"/>
      <c r="C431" s="62"/>
      <c r="D431" s="65"/>
      <c r="E431" s="44"/>
      <c r="F431" s="33"/>
      <c r="G431" s="42"/>
      <c r="H431" s="43"/>
      <c r="I431" s="43"/>
      <c r="J431" s="36">
        <f>IF(+I431+H431&gt;0,I431+(H431*labour),"")</f>
      </c>
      <c r="K431" s="37">
        <f>+IF(F431="item",J431,IF(F431&lt;&gt;0,F431*J431,""))</f>
      </c>
      <c r="L431" s="31"/>
      <c r="M431" s="33"/>
      <c r="N431" s="42"/>
      <c r="O431" s="36"/>
      <c r="P431" s="37"/>
      <c r="Q431" s="54"/>
      <c r="S431" s="110"/>
      <c r="T431" s="12"/>
      <c r="U431" s="12"/>
      <c r="V431" s="12"/>
      <c r="W431" s="19"/>
      <c r="X431" s="111"/>
    </row>
    <row r="432" spans="1:24" ht="12.75">
      <c r="A432" s="60"/>
      <c r="B432" s="61"/>
      <c r="C432" s="62"/>
      <c r="D432" s="65"/>
      <c r="E432" s="44"/>
      <c r="F432" s="33"/>
      <c r="G432" s="42"/>
      <c r="H432" s="43"/>
      <c r="I432" s="43"/>
      <c r="J432" s="36"/>
      <c r="K432" s="37"/>
      <c r="L432" s="31"/>
      <c r="M432" s="33"/>
      <c r="N432" s="42"/>
      <c r="O432" s="36"/>
      <c r="P432" s="37"/>
      <c r="Q432" s="54"/>
      <c r="S432" s="110"/>
      <c r="T432" s="12"/>
      <c r="U432" s="12"/>
      <c r="V432" s="12"/>
      <c r="W432" s="19"/>
      <c r="X432" s="111"/>
    </row>
    <row r="433" spans="1:24" ht="12.75">
      <c r="A433" s="60"/>
      <c r="B433" s="61"/>
      <c r="C433" s="62"/>
      <c r="D433" s="65"/>
      <c r="E433" s="77" t="s">
        <v>173</v>
      </c>
      <c r="F433" s="33"/>
      <c r="G433" s="42"/>
      <c r="H433" s="43"/>
      <c r="I433" s="43"/>
      <c r="J433" s="36"/>
      <c r="K433" s="53">
        <f>SUM(K434:K436)</f>
        <v>10000</v>
      </c>
      <c r="L433" s="31"/>
      <c r="M433" s="72"/>
      <c r="N433" s="73"/>
      <c r="O433" s="74"/>
      <c r="P433" s="75"/>
      <c r="Q433" s="76"/>
      <c r="S433" s="110"/>
      <c r="T433" s="12"/>
      <c r="U433" s="12"/>
      <c r="V433" s="12"/>
      <c r="W433" s="112">
        <f>SUM(W434:W436)</f>
        <v>500</v>
      </c>
      <c r="X433" s="111"/>
    </row>
    <row r="434" spans="1:24" ht="12.75">
      <c r="A434" s="60"/>
      <c r="B434" s="61"/>
      <c r="C434" s="62"/>
      <c r="D434" s="65"/>
      <c r="E434" s="77"/>
      <c r="F434" s="33"/>
      <c r="G434" s="42"/>
      <c r="H434" s="43"/>
      <c r="I434" s="43"/>
      <c r="J434" s="36"/>
      <c r="K434" s="37">
        <f>+IF(F434="item",J434,IF(F434&lt;&gt;0,F434*J434,""))</f>
      </c>
      <c r="L434" s="31"/>
      <c r="M434" s="72"/>
      <c r="N434" s="73"/>
      <c r="O434" s="74"/>
      <c r="P434" s="75"/>
      <c r="Q434" s="76"/>
      <c r="S434" s="113" t="s">
        <v>257</v>
      </c>
      <c r="T434" s="114">
        <f>+K433</f>
        <v>10000</v>
      </c>
      <c r="U434" s="12"/>
      <c r="V434" s="12">
        <v>20</v>
      </c>
      <c r="W434" s="19">
        <f>+T434/V434</f>
        <v>500</v>
      </c>
      <c r="X434" s="111"/>
    </row>
    <row r="435" spans="1:24" ht="12.75" hidden="1" outlineLevel="1">
      <c r="A435" s="60"/>
      <c r="B435" s="61"/>
      <c r="C435" s="62"/>
      <c r="D435" s="65"/>
      <c r="E435" s="44" t="s">
        <v>158</v>
      </c>
      <c r="F435" s="33">
        <v>1</v>
      </c>
      <c r="G435" s="42" t="s">
        <v>8</v>
      </c>
      <c r="H435" s="43"/>
      <c r="I435" s="43"/>
      <c r="J435" s="36">
        <v>10000</v>
      </c>
      <c r="K435" s="37">
        <f>+IF(F435="item",J435,IF(F435&lt;&gt;0,F435*J435,""))</f>
        <v>10000</v>
      </c>
      <c r="L435" s="31" t="s">
        <v>172</v>
      </c>
      <c r="M435" s="72"/>
      <c r="N435" s="73"/>
      <c r="O435" s="74"/>
      <c r="P435" s="75"/>
      <c r="Q435" s="76"/>
      <c r="S435" s="113" t="s">
        <v>251</v>
      </c>
      <c r="T435" s="12"/>
      <c r="U435" s="12"/>
      <c r="V435" s="12"/>
      <c r="W435" s="19"/>
      <c r="X435" s="111"/>
    </row>
    <row r="436" spans="1:24" ht="12.75" hidden="1" outlineLevel="1">
      <c r="A436" s="60"/>
      <c r="B436" s="61"/>
      <c r="C436" s="62"/>
      <c r="D436" s="65"/>
      <c r="E436" s="77"/>
      <c r="F436" s="33"/>
      <c r="G436" s="42"/>
      <c r="H436" s="43"/>
      <c r="I436" s="43"/>
      <c r="J436" s="36"/>
      <c r="K436" s="37">
        <f>+IF(F436="item",J436,IF(F436&lt;&gt;0,F436*J436,""))</f>
      </c>
      <c r="L436" s="31"/>
      <c r="M436" s="72"/>
      <c r="N436" s="73"/>
      <c r="O436" s="74"/>
      <c r="P436" s="75"/>
      <c r="Q436" s="76"/>
      <c r="S436" s="110" t="s">
        <v>277</v>
      </c>
      <c r="T436" s="12"/>
      <c r="U436" s="12" t="s">
        <v>269</v>
      </c>
      <c r="V436" s="12">
        <v>1</v>
      </c>
      <c r="W436" s="19"/>
      <c r="X436" s="111"/>
    </row>
    <row r="437" spans="1:24" ht="12.75" hidden="1" outlineLevel="1">
      <c r="A437" s="60"/>
      <c r="B437" s="61"/>
      <c r="C437" s="62"/>
      <c r="D437" s="65"/>
      <c r="E437" s="44"/>
      <c r="F437" s="33"/>
      <c r="G437" s="42"/>
      <c r="H437" s="43"/>
      <c r="I437" s="43"/>
      <c r="J437" s="36"/>
      <c r="K437" s="37"/>
      <c r="L437" s="31"/>
      <c r="M437" s="33"/>
      <c r="N437" s="42"/>
      <c r="O437" s="36"/>
      <c r="P437" s="37"/>
      <c r="Q437" s="54"/>
      <c r="S437" s="110" t="s">
        <v>270</v>
      </c>
      <c r="T437" s="12"/>
      <c r="U437" s="12" t="s">
        <v>269</v>
      </c>
      <c r="V437" s="12" t="s">
        <v>269</v>
      </c>
      <c r="W437" s="19"/>
      <c r="X437" s="111"/>
    </row>
    <row r="438" spans="1:24" ht="12.75" hidden="1" outlineLevel="1">
      <c r="A438" s="60"/>
      <c r="B438" s="61"/>
      <c r="C438" s="62"/>
      <c r="D438" s="65"/>
      <c r="E438" s="44"/>
      <c r="F438" s="33"/>
      <c r="G438" s="42"/>
      <c r="H438" s="43"/>
      <c r="I438" s="43"/>
      <c r="J438" s="36"/>
      <c r="K438" s="37"/>
      <c r="L438" s="31"/>
      <c r="M438" s="33"/>
      <c r="N438" s="42"/>
      <c r="O438" s="36"/>
      <c r="P438" s="37"/>
      <c r="Q438" s="54"/>
      <c r="S438" s="110" t="s">
        <v>278</v>
      </c>
      <c r="T438" s="12"/>
      <c r="U438" s="12" t="s">
        <v>269</v>
      </c>
      <c r="V438" s="12" t="s">
        <v>269</v>
      </c>
      <c r="W438" s="19"/>
      <c r="X438" s="111"/>
    </row>
    <row r="439" spans="1:24" ht="12.75" collapsed="1">
      <c r="A439" s="60"/>
      <c r="B439" s="61"/>
      <c r="C439" s="62"/>
      <c r="D439" s="65"/>
      <c r="E439" s="44"/>
      <c r="F439" s="33"/>
      <c r="G439" s="42"/>
      <c r="H439" s="43"/>
      <c r="I439" s="43"/>
      <c r="J439" s="36"/>
      <c r="K439" s="37"/>
      <c r="L439" s="31"/>
      <c r="M439" s="33"/>
      <c r="N439" s="42"/>
      <c r="O439" s="36"/>
      <c r="P439" s="37"/>
      <c r="Q439" s="54"/>
      <c r="S439" s="110"/>
      <c r="T439" s="12"/>
      <c r="U439" s="12"/>
      <c r="V439" s="12"/>
      <c r="W439" s="19"/>
      <c r="X439" s="111"/>
    </row>
    <row r="440" spans="1:24" ht="12.75">
      <c r="A440" s="60"/>
      <c r="B440" s="61"/>
      <c r="C440" s="62"/>
      <c r="D440" s="65"/>
      <c r="E440" s="44"/>
      <c r="F440" s="33"/>
      <c r="G440" s="42"/>
      <c r="H440" s="43"/>
      <c r="I440" s="43"/>
      <c r="J440" s="36"/>
      <c r="K440" s="37"/>
      <c r="L440" s="31"/>
      <c r="M440" s="33"/>
      <c r="N440" s="42"/>
      <c r="O440" s="36"/>
      <c r="P440" s="37"/>
      <c r="Q440" s="54"/>
      <c r="S440" s="110"/>
      <c r="T440" s="12"/>
      <c r="U440" s="12"/>
      <c r="V440" s="12"/>
      <c r="W440" s="19"/>
      <c r="X440" s="111"/>
    </row>
    <row r="441" spans="1:24" ht="12.75">
      <c r="A441" s="60"/>
      <c r="B441" s="61"/>
      <c r="C441" s="62"/>
      <c r="D441" s="65"/>
      <c r="E441" s="44"/>
      <c r="F441" s="33"/>
      <c r="G441" s="42"/>
      <c r="H441" s="43"/>
      <c r="I441" s="43"/>
      <c r="J441" s="36"/>
      <c r="K441" s="37"/>
      <c r="L441" s="31"/>
      <c r="M441" s="33"/>
      <c r="N441" s="42"/>
      <c r="O441" s="36"/>
      <c r="P441" s="37"/>
      <c r="Q441" s="54"/>
      <c r="S441" s="110"/>
      <c r="T441" s="12"/>
      <c r="U441" s="12"/>
      <c r="V441" s="12"/>
      <c r="W441" s="19"/>
      <c r="X441" s="111"/>
    </row>
    <row r="442" spans="1:24" ht="12.75">
      <c r="A442" s="60"/>
      <c r="B442" s="61"/>
      <c r="C442" s="62"/>
      <c r="D442" s="65"/>
      <c r="E442" s="44"/>
      <c r="F442" s="33"/>
      <c r="G442" s="42"/>
      <c r="H442" s="43"/>
      <c r="I442" s="43"/>
      <c r="J442" s="36">
        <f>IF(+I442+H442&gt;0,I442+(H442*labour),"")</f>
      </c>
      <c r="K442" s="37">
        <f>+IF(F442="item",J442,IF(F442&lt;&gt;0,F442*J442,""))</f>
      </c>
      <c r="L442" s="31"/>
      <c r="M442" s="33"/>
      <c r="N442" s="42"/>
      <c r="O442" s="36"/>
      <c r="P442" s="37"/>
      <c r="Q442" s="54"/>
      <c r="S442" s="110"/>
      <c r="T442" s="12"/>
      <c r="U442" s="12"/>
      <c r="V442" s="12"/>
      <c r="W442" s="19"/>
      <c r="X442" s="111"/>
    </row>
    <row r="443" spans="1:24" ht="12.75">
      <c r="A443" s="60"/>
      <c r="B443" s="61"/>
      <c r="C443" s="62"/>
      <c r="D443" s="63"/>
      <c r="E443" s="46"/>
      <c r="F443" s="47"/>
      <c r="G443" s="48"/>
      <c r="H443" s="49"/>
      <c r="I443" s="49"/>
      <c r="J443" s="50"/>
      <c r="K443" s="51"/>
      <c r="L443" s="95"/>
      <c r="M443" s="16"/>
      <c r="N443" s="17"/>
      <c r="O443" s="23"/>
      <c r="P443" s="18"/>
      <c r="Q443" s="18"/>
      <c r="S443" s="123"/>
      <c r="T443" s="21"/>
      <c r="U443" s="21"/>
      <c r="V443" s="21"/>
      <c r="W443" s="20"/>
      <c r="X443" s="124"/>
    </row>
    <row r="444" spans="1:4" ht="12.75">
      <c r="A444" s="60"/>
      <c r="B444" s="61"/>
      <c r="C444" s="62"/>
      <c r="D444" s="63"/>
    </row>
    <row r="445" spans="1:4" ht="12.75">
      <c r="A445" s="60"/>
      <c r="B445" s="61"/>
      <c r="C445" s="62"/>
      <c r="D445" s="63"/>
    </row>
    <row r="446" spans="1:4" ht="12.75">
      <c r="A446" s="60"/>
      <c r="B446" s="61"/>
      <c r="C446" s="62"/>
      <c r="D446" s="63"/>
    </row>
    <row r="447" spans="1:4" ht="12.75">
      <c r="A447" s="60"/>
      <c r="B447" s="61"/>
      <c r="C447" s="62"/>
      <c r="D447" s="63"/>
    </row>
    <row r="448" spans="1:4" ht="12.75">
      <c r="A448" s="60"/>
      <c r="B448" s="61"/>
      <c r="C448" s="62"/>
      <c r="D448" s="63"/>
    </row>
    <row r="449" spans="1:4" ht="12.75">
      <c r="A449" s="60"/>
      <c r="B449" s="61"/>
      <c r="C449" s="62"/>
      <c r="D449" s="63"/>
    </row>
    <row r="450" spans="1:4" ht="12.75">
      <c r="A450" s="60"/>
      <c r="B450" s="61"/>
      <c r="C450" s="62"/>
      <c r="D450" s="63"/>
    </row>
    <row r="451" spans="1:4" ht="12.75">
      <c r="A451" s="60"/>
      <c r="B451" s="61"/>
      <c r="C451" s="62"/>
      <c r="D451" s="63"/>
    </row>
    <row r="452" spans="1:4" ht="12.75">
      <c r="A452" s="60"/>
      <c r="B452" s="61"/>
      <c r="C452" s="62"/>
      <c r="D452" s="63"/>
    </row>
    <row r="453" spans="1:4" ht="12.75">
      <c r="A453" s="60"/>
      <c r="B453" s="61"/>
      <c r="C453" s="62"/>
      <c r="D453" s="63"/>
    </row>
    <row r="454" spans="1:4" ht="12.75">
      <c r="A454" s="60"/>
      <c r="B454" s="61"/>
      <c r="C454" s="62"/>
      <c r="D454" s="63"/>
    </row>
    <row r="455" spans="1:4" ht="12.75">
      <c r="A455" s="60"/>
      <c r="B455" s="61"/>
      <c r="C455" s="62"/>
      <c r="D455" s="63"/>
    </row>
    <row r="456" spans="1:4" ht="12.75">
      <c r="A456" s="60"/>
      <c r="B456" s="61"/>
      <c r="C456" s="62"/>
      <c r="D456" s="63"/>
    </row>
    <row r="457" spans="1:4" ht="12.75">
      <c r="A457" s="60"/>
      <c r="B457" s="61"/>
      <c r="C457" s="62"/>
      <c r="D457" s="63"/>
    </row>
    <row r="458" spans="1:4" ht="12.75">
      <c r="A458" s="60"/>
      <c r="B458" s="61"/>
      <c r="C458" s="62"/>
      <c r="D458" s="63"/>
    </row>
    <row r="459" spans="1:4" ht="12.75">
      <c r="A459" s="60"/>
      <c r="B459" s="61"/>
      <c r="C459" s="62"/>
      <c r="D459" s="63"/>
    </row>
    <row r="460" spans="1:4" ht="12.75">
      <c r="A460" s="60"/>
      <c r="B460" s="61"/>
      <c r="C460" s="62"/>
      <c r="D460" s="63"/>
    </row>
    <row r="461" spans="1:4" ht="12.75">
      <c r="A461" s="60"/>
      <c r="B461" s="61"/>
      <c r="C461" s="62"/>
      <c r="D461" s="63"/>
    </row>
    <row r="462" spans="1:4" ht="12.75">
      <c r="A462" s="60"/>
      <c r="B462" s="61"/>
      <c r="C462" s="62"/>
      <c r="D462" s="63"/>
    </row>
    <row r="463" spans="1:4" ht="12.75">
      <c r="A463" s="60"/>
      <c r="B463" s="61"/>
      <c r="C463" s="62"/>
      <c r="D463" s="63"/>
    </row>
    <row r="464" spans="1:4" ht="12.75">
      <c r="A464" s="60"/>
      <c r="B464" s="61"/>
      <c r="C464" s="62"/>
      <c r="D464" s="63"/>
    </row>
    <row r="465" spans="1:4" ht="12.75">
      <c r="A465" s="60"/>
      <c r="B465" s="61"/>
      <c r="C465" s="62"/>
      <c r="D465" s="63"/>
    </row>
    <row r="466" spans="1:4" ht="12.75">
      <c r="A466" s="60"/>
      <c r="B466" s="61"/>
      <c r="C466" s="62"/>
      <c r="D466" s="63"/>
    </row>
    <row r="467" spans="1:4" ht="12.75">
      <c r="A467" s="60"/>
      <c r="B467" s="61"/>
      <c r="C467" s="62"/>
      <c r="D467" s="63"/>
    </row>
    <row r="468" spans="1:4" ht="12.75">
      <c r="A468" s="60"/>
      <c r="B468" s="61"/>
      <c r="C468" s="62"/>
      <c r="D468" s="63"/>
    </row>
    <row r="469" spans="1:4" ht="12.75">
      <c r="A469" s="60"/>
      <c r="B469" s="61"/>
      <c r="C469" s="62"/>
      <c r="D469" s="63"/>
    </row>
    <row r="470" spans="1:4" ht="12.75">
      <c r="A470" s="60"/>
      <c r="B470" s="61"/>
      <c r="C470" s="62"/>
      <c r="D470" s="63"/>
    </row>
    <row r="471" spans="1:4" ht="12.75">
      <c r="A471" s="60"/>
      <c r="B471" s="61"/>
      <c r="C471" s="62"/>
      <c r="D471" s="63"/>
    </row>
    <row r="472" spans="1:4" ht="12.75">
      <c r="A472" s="60"/>
      <c r="B472" s="61"/>
      <c r="C472" s="62"/>
      <c r="D472" s="63"/>
    </row>
    <row r="473" spans="1:4" ht="12.75">
      <c r="A473" s="60"/>
      <c r="B473" s="61"/>
      <c r="C473" s="62"/>
      <c r="D473" s="63"/>
    </row>
    <row r="474" spans="1:4" ht="12.75">
      <c r="A474" s="60"/>
      <c r="B474" s="61"/>
      <c r="C474" s="62"/>
      <c r="D474" s="63"/>
    </row>
    <row r="475" spans="1:4" ht="12.75">
      <c r="A475" s="60"/>
      <c r="B475" s="61"/>
      <c r="C475" s="62"/>
      <c r="D475" s="63"/>
    </row>
    <row r="476" spans="1:4" ht="12.75">
      <c r="A476" s="60"/>
      <c r="B476" s="61"/>
      <c r="C476" s="62"/>
      <c r="D476" s="63"/>
    </row>
    <row r="477" spans="1:4" ht="12.75">
      <c r="A477" s="60"/>
      <c r="B477" s="61"/>
      <c r="C477" s="62"/>
      <c r="D477" s="63"/>
    </row>
    <row r="478" spans="1:4" ht="12.75">
      <c r="A478" s="60"/>
      <c r="B478" s="61"/>
      <c r="C478" s="62"/>
      <c r="D478" s="63"/>
    </row>
    <row r="479" spans="1:4" ht="12.75">
      <c r="A479" s="60"/>
      <c r="B479" s="61"/>
      <c r="C479" s="62"/>
      <c r="D479" s="63"/>
    </row>
    <row r="480" spans="1:4" ht="12.75">
      <c r="A480" s="60"/>
      <c r="B480" s="61"/>
      <c r="C480" s="62"/>
      <c r="D480" s="63"/>
    </row>
    <row r="481" spans="1:4" ht="12.75">
      <c r="A481" s="60"/>
      <c r="B481" s="61"/>
      <c r="C481" s="62"/>
      <c r="D481" s="63"/>
    </row>
    <row r="482" spans="1:4" ht="12.75">
      <c r="A482" s="60"/>
      <c r="B482" s="61"/>
      <c r="C482" s="62"/>
      <c r="D482" s="63"/>
    </row>
    <row r="483" spans="1:4" ht="12.75">
      <c r="A483" s="60"/>
      <c r="B483" s="61"/>
      <c r="C483" s="62"/>
      <c r="D483" s="63"/>
    </row>
    <row r="484" spans="1:4" ht="12.75">
      <c r="A484" s="60"/>
      <c r="B484" s="61"/>
      <c r="C484" s="62"/>
      <c r="D484" s="63"/>
    </row>
    <row r="485" spans="1:4" ht="12.75">
      <c r="A485" s="60"/>
      <c r="B485" s="61"/>
      <c r="C485" s="62"/>
      <c r="D485" s="63"/>
    </row>
    <row r="486" spans="1:4" ht="12.75">
      <c r="A486" s="60"/>
      <c r="B486" s="61"/>
      <c r="C486" s="62"/>
      <c r="D486" s="63"/>
    </row>
    <row r="487" spans="1:4" ht="12.75">
      <c r="A487" s="60"/>
      <c r="B487" s="61"/>
      <c r="C487" s="62"/>
      <c r="D487" s="63"/>
    </row>
    <row r="488" spans="1:4" ht="12.75">
      <c r="A488" s="60"/>
      <c r="B488" s="61"/>
      <c r="C488" s="62"/>
      <c r="D488" s="63"/>
    </row>
    <row r="489" spans="1:4" ht="12.75">
      <c r="A489" s="60"/>
      <c r="B489" s="61"/>
      <c r="C489" s="62"/>
      <c r="D489" s="63"/>
    </row>
    <row r="490" spans="1:4" ht="12.75">
      <c r="A490" s="60"/>
      <c r="B490" s="61"/>
      <c r="C490" s="62"/>
      <c r="D490" s="63"/>
    </row>
    <row r="491" spans="1:4" ht="12.75">
      <c r="A491" s="60"/>
      <c r="B491" s="61"/>
      <c r="C491" s="62"/>
      <c r="D491" s="63"/>
    </row>
    <row r="492" spans="1:4" ht="12.75">
      <c r="A492" s="60"/>
      <c r="B492" s="61"/>
      <c r="C492" s="62"/>
      <c r="D492" s="63"/>
    </row>
    <row r="493" spans="1:4" ht="12.75">
      <c r="A493" s="60"/>
      <c r="B493" s="61"/>
      <c r="C493" s="62"/>
      <c r="D493" s="63"/>
    </row>
    <row r="494" spans="1:4" ht="12.75">
      <c r="A494" s="60"/>
      <c r="B494" s="61"/>
      <c r="C494" s="62"/>
      <c r="D494" s="63"/>
    </row>
    <row r="495" spans="1:4" ht="12.75">
      <c r="A495" s="60"/>
      <c r="B495" s="61"/>
      <c r="C495" s="62"/>
      <c r="D495" s="63"/>
    </row>
    <row r="496" spans="1:4" ht="12.75">
      <c r="A496" s="60"/>
      <c r="B496" s="61"/>
      <c r="C496" s="62"/>
      <c r="D496" s="63"/>
    </row>
    <row r="497" spans="1:4" ht="12.75">
      <c r="A497" s="60"/>
      <c r="B497" s="61"/>
      <c r="C497" s="62"/>
      <c r="D497" s="63"/>
    </row>
    <row r="498" spans="1:4" ht="12.75">
      <c r="A498" s="60"/>
      <c r="B498" s="61"/>
      <c r="C498" s="62"/>
      <c r="D498" s="63"/>
    </row>
    <row r="499" spans="1:4" ht="12.75">
      <c r="A499" s="60"/>
      <c r="B499" s="61"/>
      <c r="C499" s="62"/>
      <c r="D499" s="63"/>
    </row>
    <row r="500" spans="1:4" ht="12.75">
      <c r="A500" s="60"/>
      <c r="B500" s="61"/>
      <c r="C500" s="62"/>
      <c r="D500" s="63"/>
    </row>
    <row r="501" spans="1:4" ht="12.75">
      <c r="A501" s="60"/>
      <c r="B501" s="61"/>
      <c r="C501" s="62"/>
      <c r="D501" s="63"/>
    </row>
    <row r="502" spans="1:4" ht="12.75">
      <c r="A502" s="60"/>
      <c r="B502" s="61"/>
      <c r="C502" s="62"/>
      <c r="D502" s="63"/>
    </row>
    <row r="503" spans="1:4" ht="12.75">
      <c r="A503" s="60"/>
      <c r="B503" s="61"/>
      <c r="C503" s="62"/>
      <c r="D503" s="63"/>
    </row>
    <row r="504" spans="1:4" ht="12.75">
      <c r="A504" s="60"/>
      <c r="B504" s="61"/>
      <c r="C504" s="62"/>
      <c r="D504" s="63"/>
    </row>
    <row r="505" spans="1:4" ht="12.75">
      <c r="A505" s="60"/>
      <c r="B505" s="61"/>
      <c r="C505" s="62"/>
      <c r="D505" s="63"/>
    </row>
    <row r="506" spans="1:4" ht="12.75">
      <c r="A506" s="60"/>
      <c r="B506" s="61"/>
      <c r="C506" s="62"/>
      <c r="D506" s="63"/>
    </row>
    <row r="507" spans="1:4" ht="12.75">
      <c r="A507" s="60"/>
      <c r="B507" s="61"/>
      <c r="C507" s="62"/>
      <c r="D507" s="63"/>
    </row>
    <row r="508" spans="1:4" ht="12.75">
      <c r="A508" s="60"/>
      <c r="B508" s="61"/>
      <c r="C508" s="62"/>
      <c r="D508" s="63"/>
    </row>
    <row r="509" spans="1:4" ht="12.75">
      <c r="A509" s="60"/>
      <c r="B509" s="61"/>
      <c r="C509" s="62"/>
      <c r="D509" s="63"/>
    </row>
    <row r="510" spans="1:4" ht="12.75">
      <c r="A510" s="60"/>
      <c r="B510" s="61"/>
      <c r="C510" s="62"/>
      <c r="D510" s="63"/>
    </row>
    <row r="511" spans="1:4" ht="12.75">
      <c r="A511" s="60"/>
      <c r="B511" s="61"/>
      <c r="C511" s="62"/>
      <c r="D511" s="63"/>
    </row>
    <row r="512" spans="1:4" ht="12.75">
      <c r="A512" s="60"/>
      <c r="B512" s="61"/>
      <c r="C512" s="62"/>
      <c r="D512" s="63"/>
    </row>
    <row r="513" spans="1:4" ht="12.75">
      <c r="A513" s="60"/>
      <c r="B513" s="61"/>
      <c r="C513" s="62"/>
      <c r="D513" s="63"/>
    </row>
    <row r="514" spans="1:4" ht="12.75">
      <c r="A514" s="60"/>
      <c r="B514" s="61"/>
      <c r="C514" s="62"/>
      <c r="D514" s="63"/>
    </row>
    <row r="515" spans="1:4" ht="12.75">
      <c r="A515" s="60"/>
      <c r="B515" s="61"/>
      <c r="C515" s="62"/>
      <c r="D515" s="63"/>
    </row>
    <row r="516" spans="1:4" ht="12.75">
      <c r="A516" s="60"/>
      <c r="B516" s="61"/>
      <c r="C516" s="62"/>
      <c r="D516" s="63"/>
    </row>
    <row r="517" spans="1:4" ht="12.75">
      <c r="A517" s="60"/>
      <c r="B517" s="61"/>
      <c r="C517" s="62"/>
      <c r="D517" s="63"/>
    </row>
    <row r="518" spans="1:4" ht="12.75">
      <c r="A518" s="60"/>
      <c r="B518" s="61"/>
      <c r="C518" s="62"/>
      <c r="D518" s="63"/>
    </row>
    <row r="519" spans="1:4" ht="12.75">
      <c r="A519" s="60"/>
      <c r="B519" s="61"/>
      <c r="C519" s="62"/>
      <c r="D519" s="63"/>
    </row>
    <row r="520" spans="1:4" ht="12.75">
      <c r="A520" s="60"/>
      <c r="B520" s="61"/>
      <c r="C520" s="62"/>
      <c r="D520" s="63"/>
    </row>
    <row r="521" spans="1:4" ht="12.75">
      <c r="A521" s="60"/>
      <c r="B521" s="61"/>
      <c r="C521" s="62"/>
      <c r="D521" s="63"/>
    </row>
    <row r="522" spans="1:4" ht="12.75">
      <c r="A522" s="60"/>
      <c r="B522" s="61"/>
      <c r="C522" s="62"/>
      <c r="D522" s="63"/>
    </row>
    <row r="523" spans="1:4" ht="12.75">
      <c r="A523" s="60"/>
      <c r="B523" s="61"/>
      <c r="C523" s="62"/>
      <c r="D523" s="63"/>
    </row>
    <row r="524" spans="1:4" ht="12.75">
      <c r="A524" s="60"/>
      <c r="B524" s="61"/>
      <c r="C524" s="62"/>
      <c r="D524" s="63"/>
    </row>
    <row r="525" spans="1:4" ht="12.75">
      <c r="A525" s="60"/>
      <c r="B525" s="61"/>
      <c r="C525" s="62"/>
      <c r="D525" s="63"/>
    </row>
    <row r="526" spans="1:4" ht="12.75">
      <c r="A526" s="60"/>
      <c r="B526" s="61"/>
      <c r="C526" s="62"/>
      <c r="D526" s="63"/>
    </row>
    <row r="527" spans="1:4" ht="12.75">
      <c r="A527" s="60"/>
      <c r="B527" s="61"/>
      <c r="C527" s="62"/>
      <c r="D527" s="63"/>
    </row>
    <row r="528" spans="1:4" ht="12.75">
      <c r="A528" s="60"/>
      <c r="B528" s="61"/>
      <c r="C528" s="62"/>
      <c r="D528" s="63"/>
    </row>
    <row r="529" spans="1:4" ht="12.75">
      <c r="A529" s="60"/>
      <c r="B529" s="61"/>
      <c r="C529" s="62"/>
      <c r="D529" s="63"/>
    </row>
    <row r="530" spans="1:4" ht="12.75">
      <c r="A530" s="60"/>
      <c r="B530" s="61"/>
      <c r="C530" s="62"/>
      <c r="D530" s="63"/>
    </row>
    <row r="531" spans="1:4" ht="12.75">
      <c r="A531" s="60"/>
      <c r="B531" s="61"/>
      <c r="C531" s="62"/>
      <c r="D531" s="63"/>
    </row>
    <row r="532" spans="1:4" ht="12.75">
      <c r="A532" s="60"/>
      <c r="B532" s="61"/>
      <c r="C532" s="62"/>
      <c r="D532" s="63"/>
    </row>
    <row r="533" spans="1:4" ht="12.75">
      <c r="A533" s="60"/>
      <c r="B533" s="61"/>
      <c r="C533" s="62"/>
      <c r="D533" s="63"/>
    </row>
    <row r="534" spans="1:4" ht="12.75">
      <c r="A534" s="60"/>
      <c r="B534" s="61"/>
      <c r="C534" s="62"/>
      <c r="D534" s="63"/>
    </row>
    <row r="535" spans="1:4" ht="12.75">
      <c r="A535" s="60"/>
      <c r="B535" s="61"/>
      <c r="C535" s="62"/>
      <c r="D535" s="63"/>
    </row>
    <row r="536" spans="1:4" ht="12.75">
      <c r="A536" s="60"/>
      <c r="B536" s="61"/>
      <c r="C536" s="62"/>
      <c r="D536" s="63"/>
    </row>
    <row r="537" spans="1:4" ht="12.75">
      <c r="A537" s="60"/>
      <c r="B537" s="61"/>
      <c r="C537" s="62"/>
      <c r="D537" s="63"/>
    </row>
    <row r="538" spans="1:4" ht="12.75">
      <c r="A538" s="60"/>
      <c r="B538" s="61"/>
      <c r="C538" s="62"/>
      <c r="D538" s="63"/>
    </row>
    <row r="539" spans="1:4" ht="12.75">
      <c r="A539" s="60"/>
      <c r="B539" s="61"/>
      <c r="C539" s="62"/>
      <c r="D539" s="63"/>
    </row>
    <row r="540" spans="1:4" ht="12.75">
      <c r="A540" s="60"/>
      <c r="B540" s="61"/>
      <c r="C540" s="62"/>
      <c r="D540" s="63"/>
    </row>
    <row r="541" spans="1:4" ht="12.75">
      <c r="A541" s="60"/>
      <c r="B541" s="61"/>
      <c r="C541" s="62"/>
      <c r="D541" s="63"/>
    </row>
    <row r="542" spans="1:4" ht="12.75">
      <c r="A542" s="60"/>
      <c r="B542" s="61"/>
      <c r="C542" s="62"/>
      <c r="D542" s="63"/>
    </row>
    <row r="543" spans="1:4" ht="12.75">
      <c r="A543" s="60"/>
      <c r="B543" s="61"/>
      <c r="C543" s="62"/>
      <c r="D543" s="63"/>
    </row>
    <row r="544" spans="1:4" ht="12.75">
      <c r="A544" s="60"/>
      <c r="B544" s="61"/>
      <c r="C544" s="62"/>
      <c r="D544" s="63"/>
    </row>
    <row r="545" spans="1:4" ht="12.75">
      <c r="A545" s="60"/>
      <c r="B545" s="61"/>
      <c r="C545" s="62"/>
      <c r="D545" s="63"/>
    </row>
    <row r="546" spans="1:4" ht="12.75">
      <c r="A546" s="60"/>
      <c r="B546" s="61"/>
      <c r="C546" s="62"/>
      <c r="D546" s="63"/>
    </row>
    <row r="547" spans="1:4" ht="12.75">
      <c r="A547" s="60"/>
      <c r="B547" s="61"/>
      <c r="C547" s="62"/>
      <c r="D547" s="63"/>
    </row>
    <row r="548" spans="1:4" ht="12.75">
      <c r="A548" s="60"/>
      <c r="B548" s="61"/>
      <c r="C548" s="62"/>
      <c r="D548" s="63"/>
    </row>
    <row r="549" spans="1:4" ht="12.75">
      <c r="A549" s="60"/>
      <c r="B549" s="61"/>
      <c r="C549" s="62"/>
      <c r="D549" s="63"/>
    </row>
    <row r="550" spans="1:4" ht="12.75">
      <c r="A550" s="60"/>
      <c r="B550" s="61"/>
      <c r="C550" s="62"/>
      <c r="D550" s="63"/>
    </row>
    <row r="551" spans="1:4" ht="12.75">
      <c r="A551" s="60"/>
      <c r="B551" s="61"/>
      <c r="C551" s="62"/>
      <c r="D551" s="63"/>
    </row>
    <row r="552" spans="1:4" ht="12.75">
      <c r="A552" s="60"/>
      <c r="B552" s="61"/>
      <c r="C552" s="62"/>
      <c r="D552" s="63"/>
    </row>
    <row r="553" spans="1:4" ht="12.75">
      <c r="A553" s="60"/>
      <c r="B553" s="61"/>
      <c r="C553" s="62"/>
      <c r="D553" s="63"/>
    </row>
    <row r="554" spans="1:4" ht="12.75">
      <c r="A554" s="60"/>
      <c r="B554" s="61"/>
      <c r="C554" s="62"/>
      <c r="D554" s="63"/>
    </row>
    <row r="555" spans="1:4" ht="12.75">
      <c r="A555" s="60"/>
      <c r="B555" s="61"/>
      <c r="C555" s="62"/>
      <c r="D555" s="63"/>
    </row>
    <row r="556" spans="1:4" ht="12.75">
      <c r="A556" s="60"/>
      <c r="B556" s="61"/>
      <c r="C556" s="62"/>
      <c r="D556" s="63"/>
    </row>
    <row r="557" spans="1:4" ht="12.75">
      <c r="A557" s="60"/>
      <c r="B557" s="61"/>
      <c r="C557" s="62"/>
      <c r="D557" s="63"/>
    </row>
    <row r="558" spans="1:4" ht="12.75">
      <c r="A558" s="60"/>
      <c r="B558" s="61"/>
      <c r="C558" s="62"/>
      <c r="D558" s="63"/>
    </row>
    <row r="559" spans="1:4" ht="12.75">
      <c r="A559" s="60"/>
      <c r="B559" s="61"/>
      <c r="C559" s="62"/>
      <c r="D559" s="63"/>
    </row>
    <row r="560" spans="1:4" ht="12.75">
      <c r="A560" s="60"/>
      <c r="B560" s="61"/>
      <c r="C560" s="62"/>
      <c r="D560" s="63"/>
    </row>
    <row r="561" spans="1:4" ht="12.75">
      <c r="A561" s="60"/>
      <c r="B561" s="61"/>
      <c r="C561" s="62"/>
      <c r="D561" s="63"/>
    </row>
    <row r="562" spans="1:4" ht="12.75">
      <c r="A562" s="60"/>
      <c r="B562" s="61"/>
      <c r="C562" s="62"/>
      <c r="D562" s="63"/>
    </row>
    <row r="563" spans="1:4" ht="12.75">
      <c r="A563" s="60"/>
      <c r="B563" s="61"/>
      <c r="C563" s="62"/>
      <c r="D563" s="63"/>
    </row>
    <row r="564" spans="1:4" ht="12.75">
      <c r="A564" s="60"/>
      <c r="B564" s="61"/>
      <c r="C564" s="62"/>
      <c r="D564" s="63"/>
    </row>
    <row r="565" spans="1:4" ht="12.75">
      <c r="A565" s="60"/>
      <c r="B565" s="61"/>
      <c r="C565" s="62"/>
      <c r="D565" s="63"/>
    </row>
    <row r="566" spans="1:4" ht="12.75">
      <c r="A566" s="60"/>
      <c r="B566" s="61"/>
      <c r="C566" s="62"/>
      <c r="D566" s="63"/>
    </row>
    <row r="567" spans="1:4" ht="12.75">
      <c r="A567" s="60"/>
      <c r="B567" s="61"/>
      <c r="C567" s="62"/>
      <c r="D567" s="63"/>
    </row>
    <row r="568" spans="1:4" ht="12.75">
      <c r="A568" s="60"/>
      <c r="B568" s="61"/>
      <c r="C568" s="62"/>
      <c r="D568" s="63"/>
    </row>
    <row r="569" spans="1:4" ht="12.75">
      <c r="A569" s="60"/>
      <c r="B569" s="61"/>
      <c r="C569" s="62"/>
      <c r="D569" s="63"/>
    </row>
    <row r="570" spans="1:4" ht="12.75">
      <c r="A570" s="60"/>
      <c r="B570" s="61"/>
      <c r="C570" s="62"/>
      <c r="D570" s="63"/>
    </row>
    <row r="571" spans="1:4" ht="12.75">
      <c r="A571" s="60"/>
      <c r="B571" s="61"/>
      <c r="C571" s="62"/>
      <c r="D571" s="63"/>
    </row>
    <row r="572" spans="1:4" ht="12.75">
      <c r="A572" s="60"/>
      <c r="B572" s="61"/>
      <c r="C572" s="62"/>
      <c r="D572" s="63"/>
    </row>
    <row r="573" spans="1:4" ht="12.75">
      <c r="A573" s="60"/>
      <c r="B573" s="61"/>
      <c r="C573" s="62"/>
      <c r="D573" s="63"/>
    </row>
    <row r="574" spans="1:4" ht="12.75">
      <c r="A574" s="60"/>
      <c r="B574" s="61"/>
      <c r="C574" s="62"/>
      <c r="D574" s="63"/>
    </row>
    <row r="575" spans="1:4" ht="12.75">
      <c r="A575" s="60"/>
      <c r="B575" s="61"/>
      <c r="C575" s="62"/>
      <c r="D575" s="63"/>
    </row>
    <row r="576" spans="1:4" ht="12.75">
      <c r="A576" s="60"/>
      <c r="B576" s="61"/>
      <c r="C576" s="62"/>
      <c r="D576" s="63"/>
    </row>
    <row r="577" spans="1:4" ht="12.75">
      <c r="A577" s="60"/>
      <c r="B577" s="61"/>
      <c r="C577" s="62"/>
      <c r="D577" s="63"/>
    </row>
    <row r="578" spans="1:4" ht="12.75">
      <c r="A578" s="60"/>
      <c r="B578" s="61"/>
      <c r="C578" s="62"/>
      <c r="D578" s="63"/>
    </row>
    <row r="579" spans="1:4" ht="12.75">
      <c r="A579" s="60"/>
      <c r="B579" s="61"/>
      <c r="C579" s="62"/>
      <c r="D579" s="63"/>
    </row>
    <row r="580" spans="1:4" ht="12.75">
      <c r="A580" s="60"/>
      <c r="B580" s="61"/>
      <c r="C580" s="62"/>
      <c r="D580" s="63"/>
    </row>
    <row r="581" spans="1:4" ht="12.75">
      <c r="A581" s="60"/>
      <c r="B581" s="61"/>
      <c r="C581" s="62"/>
      <c r="D581" s="63"/>
    </row>
    <row r="582" spans="1:4" ht="12.75">
      <c r="A582" s="60"/>
      <c r="B582" s="61"/>
      <c r="C582" s="62"/>
      <c r="D582" s="63"/>
    </row>
    <row r="583" spans="1:4" ht="12.75">
      <c r="A583" s="60"/>
      <c r="B583" s="61"/>
      <c r="C583" s="62"/>
      <c r="D583" s="63"/>
    </row>
    <row r="584" spans="1:4" ht="12.75">
      <c r="A584" s="60"/>
      <c r="B584" s="61"/>
      <c r="C584" s="62"/>
      <c r="D584" s="63"/>
    </row>
    <row r="585" spans="1:4" ht="12.75">
      <c r="A585" s="60"/>
      <c r="B585" s="61"/>
      <c r="C585" s="62"/>
      <c r="D585" s="63"/>
    </row>
    <row r="586" spans="1:4" ht="12.75">
      <c r="A586" s="60"/>
      <c r="B586" s="61"/>
      <c r="C586" s="62"/>
      <c r="D586" s="63"/>
    </row>
    <row r="587" spans="1:4" ht="12.75">
      <c r="A587" s="60"/>
      <c r="B587" s="61"/>
      <c r="C587" s="62"/>
      <c r="D587" s="63"/>
    </row>
    <row r="588" spans="1:4" ht="12.75">
      <c r="A588" s="60"/>
      <c r="B588" s="61"/>
      <c r="C588" s="62"/>
      <c r="D588" s="63"/>
    </row>
    <row r="589" spans="1:4" ht="12.75">
      <c r="A589" s="60"/>
      <c r="B589" s="61"/>
      <c r="C589" s="62"/>
      <c r="D589" s="63"/>
    </row>
    <row r="590" spans="1:4" ht="12.75">
      <c r="A590" s="60"/>
      <c r="B590" s="61"/>
      <c r="C590" s="62"/>
      <c r="D590" s="63"/>
    </row>
    <row r="591" spans="1:4" ht="12.75">
      <c r="A591" s="60"/>
      <c r="B591" s="61"/>
      <c r="C591" s="62"/>
      <c r="D591" s="63"/>
    </row>
    <row r="592" spans="1:4" ht="12.75">
      <c r="A592" s="60"/>
      <c r="B592" s="61"/>
      <c r="C592" s="62"/>
      <c r="D592" s="63"/>
    </row>
    <row r="593" spans="1:4" ht="12.75">
      <c r="A593" s="60"/>
      <c r="B593" s="61"/>
      <c r="C593" s="62"/>
      <c r="D593" s="63"/>
    </row>
    <row r="594" spans="1:4" ht="12.75">
      <c r="A594" s="60"/>
      <c r="B594" s="61"/>
      <c r="C594" s="62"/>
      <c r="D594" s="63"/>
    </row>
    <row r="595" spans="1:4" ht="12.75">
      <c r="A595" s="60"/>
      <c r="B595" s="61"/>
      <c r="C595" s="62"/>
      <c r="D595" s="63"/>
    </row>
    <row r="596" spans="1:4" ht="12.75">
      <c r="A596" s="60"/>
      <c r="B596" s="61"/>
      <c r="C596" s="62"/>
      <c r="D596" s="63"/>
    </row>
    <row r="597" spans="1:4" ht="12.75">
      <c r="A597" s="60"/>
      <c r="B597" s="61"/>
      <c r="C597" s="62"/>
      <c r="D597" s="63"/>
    </row>
    <row r="598" spans="1:4" ht="12.75">
      <c r="A598" s="60"/>
      <c r="B598" s="61"/>
      <c r="C598" s="62"/>
      <c r="D598" s="63"/>
    </row>
    <row r="599" spans="1:4" ht="12.75">
      <c r="A599" s="60"/>
      <c r="B599" s="61"/>
      <c r="C599" s="62"/>
      <c r="D599" s="63"/>
    </row>
    <row r="600" spans="1:4" ht="12.75">
      <c r="A600" s="60"/>
      <c r="B600" s="61"/>
      <c r="C600" s="62"/>
      <c r="D600" s="63"/>
    </row>
    <row r="601" spans="1:4" ht="12.75">
      <c r="A601" s="60"/>
      <c r="B601" s="61"/>
      <c r="C601" s="62"/>
      <c r="D601" s="63"/>
    </row>
    <row r="602" spans="1:4" ht="12.75">
      <c r="A602" s="60"/>
      <c r="B602" s="61"/>
      <c r="C602" s="62"/>
      <c r="D602" s="63"/>
    </row>
    <row r="603" spans="1:4" ht="12.75">
      <c r="A603" s="60"/>
      <c r="B603" s="61"/>
      <c r="C603" s="62"/>
      <c r="D603" s="63"/>
    </row>
    <row r="604" spans="1:4" ht="12.75">
      <c r="A604" s="60"/>
      <c r="B604" s="61"/>
      <c r="C604" s="62"/>
      <c r="D604" s="63"/>
    </row>
    <row r="605" spans="1:4" ht="12.75">
      <c r="A605" s="60"/>
      <c r="B605" s="61"/>
      <c r="C605" s="62"/>
      <c r="D605" s="63"/>
    </row>
    <row r="606" spans="1:4" ht="12.75">
      <c r="A606" s="60"/>
      <c r="B606" s="61"/>
      <c r="C606" s="62"/>
      <c r="D606" s="63"/>
    </row>
    <row r="607" spans="1:4" ht="12.75">
      <c r="A607" s="60"/>
      <c r="B607" s="61"/>
      <c r="C607" s="62"/>
      <c r="D607" s="63"/>
    </row>
    <row r="608" spans="1:4" ht="12.75">
      <c r="A608" s="60"/>
      <c r="B608" s="61"/>
      <c r="C608" s="62"/>
      <c r="D608" s="63"/>
    </row>
    <row r="609" spans="1:4" ht="12.75">
      <c r="A609" s="60"/>
      <c r="B609" s="61"/>
      <c r="C609" s="62"/>
      <c r="D609" s="63"/>
    </row>
    <row r="610" spans="1:4" ht="12.75">
      <c r="A610" s="60"/>
      <c r="B610" s="61"/>
      <c r="C610" s="62"/>
      <c r="D610" s="63"/>
    </row>
    <row r="611" spans="1:4" ht="12.75">
      <c r="A611" s="60"/>
      <c r="B611" s="61"/>
      <c r="C611" s="62"/>
      <c r="D611" s="63"/>
    </row>
    <row r="612" spans="1:4" ht="12.75">
      <c r="A612" s="60"/>
      <c r="B612" s="61"/>
      <c r="C612" s="62"/>
      <c r="D612" s="63"/>
    </row>
    <row r="613" spans="1:4" ht="12.75">
      <c r="A613" s="60"/>
      <c r="B613" s="61"/>
      <c r="C613" s="62"/>
      <c r="D613" s="63"/>
    </row>
    <row r="614" spans="1:4" ht="12.75">
      <c r="A614" s="60"/>
      <c r="B614" s="61"/>
      <c r="C614" s="62"/>
      <c r="D614" s="63"/>
    </row>
    <row r="615" spans="1:4" ht="12.75">
      <c r="A615" s="60"/>
      <c r="B615" s="61"/>
      <c r="C615" s="62"/>
      <c r="D615" s="63"/>
    </row>
    <row r="616" spans="1:4" ht="12.75">
      <c r="A616" s="60"/>
      <c r="B616" s="61"/>
      <c r="C616" s="62"/>
      <c r="D616" s="63"/>
    </row>
    <row r="617" spans="1:4" ht="12.75">
      <c r="A617" s="60"/>
      <c r="B617" s="61"/>
      <c r="C617" s="62"/>
      <c r="D617" s="63"/>
    </row>
    <row r="618" spans="1:4" ht="12.75">
      <c r="A618" s="60"/>
      <c r="B618" s="61"/>
      <c r="C618" s="62"/>
      <c r="D618" s="63"/>
    </row>
    <row r="619" spans="1:4" ht="12.75">
      <c r="A619" s="60"/>
      <c r="B619" s="61"/>
      <c r="C619" s="62"/>
      <c r="D619" s="63"/>
    </row>
    <row r="620" spans="1:4" ht="12.75">
      <c r="A620" s="60"/>
      <c r="B620" s="61"/>
      <c r="C620" s="62"/>
      <c r="D620" s="63"/>
    </row>
    <row r="621" spans="1:4" ht="12.75">
      <c r="A621" s="60"/>
      <c r="B621" s="61"/>
      <c r="C621" s="62"/>
      <c r="D621" s="63"/>
    </row>
    <row r="622" spans="1:4" ht="12.75">
      <c r="A622" s="60"/>
      <c r="B622" s="61"/>
      <c r="C622" s="62"/>
      <c r="D622" s="63"/>
    </row>
    <row r="623" spans="1:4" ht="12.75">
      <c r="A623" s="60"/>
      <c r="B623" s="61"/>
      <c r="C623" s="62"/>
      <c r="D623" s="63"/>
    </row>
    <row r="624" spans="1:4" ht="12.75">
      <c r="A624" s="60"/>
      <c r="B624" s="61"/>
      <c r="C624" s="62"/>
      <c r="D624" s="63"/>
    </row>
    <row r="625" spans="1:4" ht="12.75">
      <c r="A625" s="60"/>
      <c r="B625" s="61"/>
      <c r="C625" s="62"/>
      <c r="D625" s="63"/>
    </row>
    <row r="626" spans="1:4" ht="12.75">
      <c r="A626" s="60"/>
      <c r="B626" s="61"/>
      <c r="C626" s="62"/>
      <c r="D626" s="63"/>
    </row>
    <row r="627" spans="1:4" ht="12.75">
      <c r="A627" s="60"/>
      <c r="B627" s="61"/>
      <c r="C627" s="62"/>
      <c r="D627" s="63"/>
    </row>
    <row r="628" spans="1:4" ht="12.75">
      <c r="A628" s="60"/>
      <c r="B628" s="61"/>
      <c r="C628" s="62"/>
      <c r="D628" s="63"/>
    </row>
    <row r="629" spans="1:4" ht="12.75">
      <c r="A629" s="60"/>
      <c r="B629" s="61"/>
      <c r="C629" s="62"/>
      <c r="D629" s="63"/>
    </row>
    <row r="630" spans="1:4" ht="12.75">
      <c r="A630" s="60"/>
      <c r="B630" s="61"/>
      <c r="C630" s="62"/>
      <c r="D630" s="63"/>
    </row>
    <row r="631" spans="1:4" ht="12.75">
      <c r="A631" s="60"/>
      <c r="B631" s="61"/>
      <c r="C631" s="62"/>
      <c r="D631" s="63"/>
    </row>
    <row r="632" spans="1:4" ht="12.75">
      <c r="A632" s="60"/>
      <c r="B632" s="61"/>
      <c r="C632" s="62"/>
      <c r="D632" s="63"/>
    </row>
    <row r="633" spans="1:4" ht="12.75">
      <c r="A633" s="60"/>
      <c r="B633" s="61"/>
      <c r="C633" s="62"/>
      <c r="D633" s="63"/>
    </row>
    <row r="634" spans="1:4" ht="12.75">
      <c r="A634" s="60"/>
      <c r="B634" s="61"/>
      <c r="C634" s="62"/>
      <c r="D634" s="63"/>
    </row>
    <row r="635" spans="1:4" ht="12.75">
      <c r="A635" s="60"/>
      <c r="B635" s="61"/>
      <c r="C635" s="62"/>
      <c r="D635" s="63"/>
    </row>
    <row r="636" spans="1:4" ht="12.75">
      <c r="A636" s="60"/>
      <c r="B636" s="61"/>
      <c r="C636" s="62"/>
      <c r="D636" s="63"/>
    </row>
    <row r="637" spans="1:4" ht="12.75">
      <c r="A637" s="60"/>
      <c r="B637" s="61"/>
      <c r="C637" s="62"/>
      <c r="D637" s="63"/>
    </row>
    <row r="638" spans="1:4" ht="12.75">
      <c r="A638" s="60"/>
      <c r="B638" s="61"/>
      <c r="C638" s="62"/>
      <c r="D638" s="63"/>
    </row>
    <row r="639" spans="1:4" ht="12.75">
      <c r="A639" s="60"/>
      <c r="B639" s="61"/>
      <c r="C639" s="62"/>
      <c r="D639" s="63"/>
    </row>
    <row r="640" spans="1:4" ht="12.75">
      <c r="A640" s="60"/>
      <c r="B640" s="61"/>
      <c r="C640" s="62"/>
      <c r="D640" s="63"/>
    </row>
    <row r="641" spans="1:4" ht="12.75">
      <c r="A641" s="60"/>
      <c r="B641" s="61"/>
      <c r="C641" s="62"/>
      <c r="D641" s="63"/>
    </row>
    <row r="642" spans="1:4" ht="12.75">
      <c r="A642" s="60"/>
      <c r="B642" s="61"/>
      <c r="C642" s="62"/>
      <c r="D642" s="63"/>
    </row>
    <row r="643" spans="1:4" ht="12.75">
      <c r="A643" s="60"/>
      <c r="B643" s="61"/>
      <c r="C643" s="62"/>
      <c r="D643" s="63"/>
    </row>
    <row r="644" spans="1:4" ht="12.75">
      <c r="A644" s="60"/>
      <c r="B644" s="61"/>
      <c r="C644" s="62"/>
      <c r="D644" s="63"/>
    </row>
    <row r="645" spans="1:4" ht="12.75">
      <c r="A645" s="60"/>
      <c r="B645" s="61"/>
      <c r="C645" s="62"/>
      <c r="D645" s="63"/>
    </row>
    <row r="646" spans="1:4" ht="12.75">
      <c r="A646" s="60"/>
      <c r="B646" s="61"/>
      <c r="C646" s="62"/>
      <c r="D646" s="63"/>
    </row>
    <row r="647" spans="1:4" ht="12.75">
      <c r="A647" s="60"/>
      <c r="B647" s="61"/>
      <c r="C647" s="62"/>
      <c r="D647" s="63"/>
    </row>
    <row r="648" spans="1:4" ht="12.75">
      <c r="A648" s="60"/>
      <c r="B648" s="61"/>
      <c r="C648" s="62"/>
      <c r="D648" s="63"/>
    </row>
    <row r="649" spans="1:4" ht="12.75">
      <c r="A649" s="60"/>
      <c r="B649" s="61"/>
      <c r="C649" s="62"/>
      <c r="D649" s="63"/>
    </row>
    <row r="650" spans="1:4" ht="12.75">
      <c r="A650" s="60"/>
      <c r="B650" s="61"/>
      <c r="C650" s="62"/>
      <c r="D650" s="63"/>
    </row>
    <row r="651" spans="1:4" ht="12.75">
      <c r="A651" s="60"/>
      <c r="B651" s="61"/>
      <c r="C651" s="62"/>
      <c r="D651" s="63"/>
    </row>
    <row r="652" spans="1:4" ht="12.75">
      <c r="A652" s="60"/>
      <c r="B652" s="61"/>
      <c r="C652" s="62"/>
      <c r="D652" s="63"/>
    </row>
    <row r="653" spans="1:4" ht="12.75">
      <c r="A653" s="60"/>
      <c r="B653" s="61"/>
      <c r="C653" s="62"/>
      <c r="D653" s="63"/>
    </row>
    <row r="654" spans="1:4" ht="12.75">
      <c r="A654" s="60"/>
      <c r="B654" s="61"/>
      <c r="C654" s="62"/>
      <c r="D654" s="63"/>
    </row>
    <row r="655" spans="1:4" ht="12.75">
      <c r="A655" s="60"/>
      <c r="B655" s="61"/>
      <c r="C655" s="62"/>
      <c r="D655" s="63"/>
    </row>
    <row r="656" spans="1:4" ht="12.75">
      <c r="A656" s="60"/>
      <c r="B656" s="61"/>
      <c r="C656" s="62"/>
      <c r="D656" s="63"/>
    </row>
    <row r="657" spans="1:4" ht="12.75">
      <c r="A657" s="60"/>
      <c r="B657" s="61"/>
      <c r="C657" s="62"/>
      <c r="D657" s="63"/>
    </row>
    <row r="658" spans="1:4" ht="12.75">
      <c r="A658" s="60"/>
      <c r="B658" s="61"/>
      <c r="C658" s="62"/>
      <c r="D658" s="63"/>
    </row>
    <row r="659" spans="1:4" ht="12.75">
      <c r="A659" s="60"/>
      <c r="B659" s="61"/>
      <c r="C659" s="62"/>
      <c r="D659" s="63"/>
    </row>
    <row r="660" spans="1:4" ht="12.75">
      <c r="A660" s="60"/>
      <c r="B660" s="61"/>
      <c r="C660" s="62"/>
      <c r="D660" s="63"/>
    </row>
    <row r="661" spans="1:4" ht="12.75">
      <c r="A661" s="60"/>
      <c r="B661" s="61"/>
      <c r="C661" s="62"/>
      <c r="D661" s="63"/>
    </row>
    <row r="662" spans="1:4" ht="12.75">
      <c r="A662" s="60"/>
      <c r="B662" s="61"/>
      <c r="C662" s="62"/>
      <c r="D662" s="63"/>
    </row>
    <row r="663" spans="1:4" ht="12.75">
      <c r="A663" s="60"/>
      <c r="B663" s="61"/>
      <c r="C663" s="62"/>
      <c r="D663" s="63"/>
    </row>
    <row r="664" spans="1:4" ht="12.75">
      <c r="A664" s="60"/>
      <c r="B664" s="61"/>
      <c r="C664" s="62"/>
      <c r="D664" s="63"/>
    </row>
    <row r="665" spans="1:4" ht="12.75">
      <c r="A665" s="60"/>
      <c r="B665" s="61"/>
      <c r="C665" s="62"/>
      <c r="D665" s="63"/>
    </row>
    <row r="666" spans="1:4" ht="12.75">
      <c r="A666" s="60"/>
      <c r="B666" s="61"/>
      <c r="C666" s="62"/>
      <c r="D666" s="63"/>
    </row>
    <row r="667" spans="1:4" ht="12.75">
      <c r="A667" s="60"/>
      <c r="B667" s="61"/>
      <c r="C667" s="62"/>
      <c r="D667" s="63"/>
    </row>
    <row r="668" spans="1:4" ht="12.75">
      <c r="A668" s="60"/>
      <c r="B668" s="61"/>
      <c r="C668" s="62"/>
      <c r="D668" s="63"/>
    </row>
    <row r="669" spans="1:4" ht="12.75">
      <c r="A669" s="60"/>
      <c r="B669" s="61"/>
      <c r="C669" s="62"/>
      <c r="D669" s="63"/>
    </row>
    <row r="670" spans="1:4" ht="12.75">
      <c r="A670" s="60"/>
      <c r="B670" s="61"/>
      <c r="C670" s="62"/>
      <c r="D670" s="63"/>
    </row>
    <row r="671" spans="1:4" ht="12.75">
      <c r="A671" s="60"/>
      <c r="B671" s="61"/>
      <c r="C671" s="62"/>
      <c r="D671" s="63"/>
    </row>
    <row r="672" spans="1:4" ht="12.75">
      <c r="A672" s="60"/>
      <c r="B672" s="61"/>
      <c r="C672" s="62"/>
      <c r="D672" s="63"/>
    </row>
    <row r="673" spans="1:4" ht="12.75">
      <c r="A673" s="60"/>
      <c r="B673" s="61"/>
      <c r="C673" s="62"/>
      <c r="D673" s="63"/>
    </row>
    <row r="674" spans="1:4" ht="12.75">
      <c r="A674" s="60"/>
      <c r="B674" s="61"/>
      <c r="C674" s="62"/>
      <c r="D674" s="63"/>
    </row>
    <row r="675" spans="1:4" ht="12.75">
      <c r="A675" s="60"/>
      <c r="B675" s="61"/>
      <c r="C675" s="62"/>
      <c r="D675" s="63"/>
    </row>
    <row r="676" spans="1:4" ht="12.75">
      <c r="A676" s="60"/>
      <c r="B676" s="61"/>
      <c r="C676" s="62"/>
      <c r="D676" s="63"/>
    </row>
    <row r="677" spans="1:4" ht="12.75">
      <c r="A677" s="60"/>
      <c r="B677" s="61"/>
      <c r="C677" s="62"/>
      <c r="D677" s="63"/>
    </row>
    <row r="678" spans="1:4" ht="12.75">
      <c r="A678" s="60"/>
      <c r="B678" s="61"/>
      <c r="C678" s="62"/>
      <c r="D678" s="63"/>
    </row>
    <row r="679" spans="1:4" ht="12.75">
      <c r="A679" s="60"/>
      <c r="B679" s="61"/>
      <c r="C679" s="62"/>
      <c r="D679" s="63"/>
    </row>
    <row r="680" spans="1:4" ht="12.75">
      <c r="A680" s="60"/>
      <c r="B680" s="61"/>
      <c r="C680" s="62"/>
      <c r="D680" s="63"/>
    </row>
    <row r="681" spans="1:4" ht="12.75">
      <c r="A681" s="60"/>
      <c r="B681" s="61"/>
      <c r="C681" s="62"/>
      <c r="D681" s="63"/>
    </row>
    <row r="682" spans="1:4" ht="12.75">
      <c r="A682" s="60"/>
      <c r="B682" s="61"/>
      <c r="C682" s="62"/>
      <c r="D682" s="63"/>
    </row>
    <row r="683" spans="1:4" ht="12.75">
      <c r="A683" s="60"/>
      <c r="B683" s="61"/>
      <c r="C683" s="62"/>
      <c r="D683" s="63"/>
    </row>
    <row r="684" spans="1:4" ht="12.75">
      <c r="A684" s="60"/>
      <c r="B684" s="61"/>
      <c r="C684" s="62"/>
      <c r="D684" s="63"/>
    </row>
    <row r="685" spans="1:4" ht="12.75">
      <c r="A685" s="60"/>
      <c r="B685" s="61"/>
      <c r="C685" s="62"/>
      <c r="D685" s="63"/>
    </row>
    <row r="686" spans="1:4" ht="12.75">
      <c r="A686" s="60"/>
      <c r="B686" s="61"/>
      <c r="C686" s="62"/>
      <c r="D686" s="63"/>
    </row>
    <row r="687" spans="1:4" ht="12.75">
      <c r="A687" s="60"/>
      <c r="B687" s="61"/>
      <c r="C687" s="62"/>
      <c r="D687" s="63"/>
    </row>
    <row r="688" spans="1:4" ht="12.75">
      <c r="A688" s="60"/>
      <c r="B688" s="61"/>
      <c r="C688" s="62"/>
      <c r="D688" s="63"/>
    </row>
    <row r="689" spans="1:4" ht="12.75">
      <c r="A689" s="60"/>
      <c r="B689" s="61"/>
      <c r="C689" s="62"/>
      <c r="D689" s="63"/>
    </row>
    <row r="690" spans="1:4" ht="12.75">
      <c r="A690" s="60"/>
      <c r="B690" s="61"/>
      <c r="C690" s="62"/>
      <c r="D690" s="63"/>
    </row>
    <row r="691" spans="1:4" ht="12.75">
      <c r="A691" s="60"/>
      <c r="B691" s="61"/>
      <c r="C691" s="62"/>
      <c r="D691" s="63"/>
    </row>
    <row r="692" spans="1:4" ht="12.75">
      <c r="A692" s="60"/>
      <c r="B692" s="61"/>
      <c r="C692" s="62"/>
      <c r="D692" s="63"/>
    </row>
    <row r="693" spans="1:4" ht="12.75">
      <c r="A693" s="60"/>
      <c r="B693" s="61"/>
      <c r="C693" s="62"/>
      <c r="D693" s="63"/>
    </row>
    <row r="694" spans="1:4" ht="12.75">
      <c r="A694" s="60"/>
      <c r="B694" s="61"/>
      <c r="C694" s="62"/>
      <c r="D694" s="63"/>
    </row>
    <row r="695" spans="1:4" ht="12.75">
      <c r="A695" s="60"/>
      <c r="B695" s="61"/>
      <c r="C695" s="62"/>
      <c r="D695" s="63"/>
    </row>
    <row r="696" spans="1:4" ht="12.75">
      <c r="A696" s="60"/>
      <c r="B696" s="61"/>
      <c r="C696" s="62"/>
      <c r="D696" s="63"/>
    </row>
    <row r="697" spans="1:4" ht="12.75">
      <c r="A697" s="60"/>
      <c r="B697" s="61"/>
      <c r="C697" s="62"/>
      <c r="D697" s="63"/>
    </row>
    <row r="698" spans="1:4" ht="12.75">
      <c r="A698" s="60"/>
      <c r="B698" s="61"/>
      <c r="C698" s="62"/>
      <c r="D698" s="63"/>
    </row>
    <row r="699" spans="1:4" ht="12.75">
      <c r="A699" s="60"/>
      <c r="B699" s="61"/>
      <c r="C699" s="62"/>
      <c r="D699" s="63"/>
    </row>
    <row r="700" spans="1:4" ht="12.75">
      <c r="A700" s="60"/>
      <c r="B700" s="61"/>
      <c r="C700" s="62"/>
      <c r="D700" s="63"/>
    </row>
    <row r="701" spans="1:4" ht="12.75">
      <c r="A701" s="60"/>
      <c r="B701" s="61"/>
      <c r="C701" s="62"/>
      <c r="D701" s="63"/>
    </row>
    <row r="702" spans="1:4" ht="12.75">
      <c r="A702" s="60"/>
      <c r="B702" s="61"/>
      <c r="C702" s="62"/>
      <c r="D702" s="63"/>
    </row>
    <row r="703" spans="1:4" ht="12.75">
      <c r="A703" s="60"/>
      <c r="B703" s="61"/>
      <c r="C703" s="62"/>
      <c r="D703" s="63"/>
    </row>
    <row r="704" spans="1:4" ht="12.75">
      <c r="A704" s="60"/>
      <c r="B704" s="61"/>
      <c r="C704" s="62"/>
      <c r="D704" s="63"/>
    </row>
    <row r="705" spans="1:4" ht="12.75">
      <c r="A705" s="60"/>
      <c r="B705" s="61"/>
      <c r="C705" s="62"/>
      <c r="D705" s="63"/>
    </row>
    <row r="706" spans="1:4" ht="12.75">
      <c r="A706" s="60"/>
      <c r="B706" s="61"/>
      <c r="C706" s="62"/>
      <c r="D706" s="63"/>
    </row>
    <row r="707" spans="1:4" ht="12.75">
      <c r="A707" s="60"/>
      <c r="B707" s="61"/>
      <c r="C707" s="62"/>
      <c r="D707" s="63"/>
    </row>
    <row r="708" spans="1:4" ht="12.75">
      <c r="A708" s="60"/>
      <c r="B708" s="61"/>
      <c r="C708" s="62"/>
      <c r="D708" s="63"/>
    </row>
    <row r="709" spans="1:4" ht="12.75">
      <c r="A709" s="60"/>
      <c r="B709" s="61"/>
      <c r="C709" s="62"/>
      <c r="D709" s="63"/>
    </row>
    <row r="710" spans="1:4" ht="12.75">
      <c r="A710" s="60"/>
      <c r="B710" s="61"/>
      <c r="C710" s="62"/>
      <c r="D710" s="63"/>
    </row>
    <row r="711" spans="1:4" ht="12.75">
      <c r="A711" s="60"/>
      <c r="B711" s="61"/>
      <c r="C711" s="62"/>
      <c r="D711" s="63"/>
    </row>
    <row r="712" spans="1:4" ht="12.75">
      <c r="A712" s="60"/>
      <c r="B712" s="61"/>
      <c r="C712" s="62"/>
      <c r="D712" s="63"/>
    </row>
    <row r="713" spans="1:4" ht="12.75">
      <c r="A713" s="60"/>
      <c r="B713" s="61"/>
      <c r="C713" s="62"/>
      <c r="D713" s="63"/>
    </row>
    <row r="714" spans="1:4" ht="12.75">
      <c r="A714" s="60"/>
      <c r="B714" s="61"/>
      <c r="C714" s="62"/>
      <c r="D714" s="63"/>
    </row>
    <row r="715" spans="1:4" ht="12.75">
      <c r="A715" s="60"/>
      <c r="B715" s="61"/>
      <c r="C715" s="62"/>
      <c r="D715" s="63"/>
    </row>
    <row r="716" spans="1:4" ht="12.75">
      <c r="A716" s="60"/>
      <c r="B716" s="61"/>
      <c r="C716" s="62"/>
      <c r="D716" s="63"/>
    </row>
    <row r="717" spans="1:4" ht="12.75">
      <c r="A717" s="60"/>
      <c r="B717" s="61"/>
      <c r="C717" s="62"/>
      <c r="D717" s="63"/>
    </row>
    <row r="718" spans="1:4" ht="12.75">
      <c r="A718" s="60"/>
      <c r="B718" s="61"/>
      <c r="C718" s="62"/>
      <c r="D718" s="63"/>
    </row>
    <row r="719" spans="1:4" ht="12.75">
      <c r="A719" s="60"/>
      <c r="B719" s="61"/>
      <c r="C719" s="62"/>
      <c r="D719" s="63"/>
    </row>
    <row r="720" spans="1:4" ht="12.75">
      <c r="A720" s="60"/>
      <c r="B720" s="61"/>
      <c r="C720" s="62"/>
      <c r="D720" s="63"/>
    </row>
    <row r="721" spans="1:4" ht="12.75">
      <c r="A721" s="60"/>
      <c r="B721" s="61"/>
      <c r="C721" s="62"/>
      <c r="D721" s="63"/>
    </row>
    <row r="722" spans="1:4" ht="12.75">
      <c r="A722" s="60"/>
      <c r="B722" s="61"/>
      <c r="C722" s="62"/>
      <c r="D722" s="63"/>
    </row>
    <row r="723" spans="1:4" ht="12.75">
      <c r="A723" s="60"/>
      <c r="B723" s="61"/>
      <c r="C723" s="62"/>
      <c r="D723" s="63"/>
    </row>
    <row r="724" spans="1:4" ht="12.75">
      <c r="A724" s="60"/>
      <c r="B724" s="61"/>
      <c r="C724" s="62"/>
      <c r="D724" s="63"/>
    </row>
    <row r="725" spans="1:4" ht="12.75">
      <c r="A725" s="60"/>
      <c r="B725" s="61"/>
      <c r="C725" s="62"/>
      <c r="D725" s="63"/>
    </row>
    <row r="726" spans="1:4" ht="12.75">
      <c r="A726" s="60"/>
      <c r="B726" s="61"/>
      <c r="C726" s="62"/>
      <c r="D726" s="63"/>
    </row>
    <row r="727" spans="1:4" ht="12.75">
      <c r="A727" s="60"/>
      <c r="B727" s="61"/>
      <c r="C727" s="62"/>
      <c r="D727" s="63"/>
    </row>
    <row r="728" spans="1:4" ht="12.75">
      <c r="A728" s="60"/>
      <c r="B728" s="61"/>
      <c r="C728" s="62"/>
      <c r="D728" s="63"/>
    </row>
    <row r="729" spans="1:4" ht="12.75">
      <c r="A729" s="60"/>
      <c r="B729" s="61"/>
      <c r="C729" s="62"/>
      <c r="D729" s="63"/>
    </row>
    <row r="730" spans="1:4" ht="12.75">
      <c r="A730" s="60"/>
      <c r="B730" s="61"/>
      <c r="C730" s="62"/>
      <c r="D730" s="63"/>
    </row>
  </sheetData>
  <mergeCells count="7">
    <mergeCell ref="S8:X8"/>
    <mergeCell ref="F8:Q8"/>
    <mergeCell ref="M9:Q9"/>
    <mergeCell ref="F10:G10"/>
    <mergeCell ref="F9:L9"/>
    <mergeCell ref="M10:N10"/>
    <mergeCell ref="S9:X9"/>
  </mergeCells>
  <printOptions/>
  <pageMargins left="0.65" right="0.51" top="1" bottom="1" header="0.5" footer="0.5"/>
  <pageSetup fitToHeight="0" fitToWidth="1" horizontalDpi="300" verticalDpi="300" orientation="portrait" paperSize="9" scale="21" r:id="rId3"/>
  <headerFooter alignWithMargins="0">
    <oddFooter>&amp;L
&amp;"Arial,Italic"Bare, Leaning and Bare
Chartered Quantity Surveyors&amp;RPage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Bare, Leaning &amp; Bare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Bare, Leaning &amp; Bare</dc:creator>
  <cp:keywords/>
  <dc:description/>
  <cp:lastModifiedBy>Administrator</cp:lastModifiedBy>
  <cp:lastPrinted>2006-08-10T09:22:20Z</cp:lastPrinted>
  <dcterms:created xsi:type="dcterms:W3CDTF">2002-09-24T09:11:32Z</dcterms:created>
  <dcterms:modified xsi:type="dcterms:W3CDTF">2011-07-29T14:37:02Z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